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Summary'!$B$2:$F$58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<sst xmlns="http://schemas.openxmlformats.org/spreadsheetml/2006/main" count="1017" uniqueCount="346">
  <si>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</si>
  <si>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</si>
  <si>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</si>
  <si>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</si>
  <si>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</si>
  <si>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</si>
  <si>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</si>
  <si>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</si>
  <si>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</si>
  <si>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</si>
  <si>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</si>
  <si>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</si>
  <si>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</si>
  <si>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</si>
  <si>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</si>
  <si>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</si>
  <si>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</si>
  <si>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</si>
  <si>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</si>
  <si>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</si>
  <si>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</si>
  <si>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</si>
  <si>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</si>
  <si>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</si>
  <si>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</si>
  <si>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</si>
  <si>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</si>
  <si>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</si>
  <si>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</si>
  <si>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</si>
  <si>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</si>
  <si>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</si>
  <si>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</si>
  <si>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</si>
  <si>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</si>
  <si>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</si>
  <si>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</si>
  <si>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</si>
  <si>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</si>
  <si>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</si>
  <si>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</si>
  <si>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</si>
  <si>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</si>
  <si>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</si>
  <si>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</si>
  <si>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</si>
  <si>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</si>
  <si>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</si>
  <si>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</si>
  <si>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</si>
  <si>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</si>
  <si>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</si>
  <si>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</si>
  <si>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</si>
  <si>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</si>
  <si>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</si>
  <si>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</si>
  <si>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</si>
  <si>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</si>
  <si>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</si>
  <si>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</si>
  <si>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</si>
  <si>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</si>
  <si>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</si>
  <si>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</si>
  <si>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</si>
  <si>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</si>
  <si>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</si>
  <si>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</si>
  <si>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</si>
  <si>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</si>
  <si>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</si>
  <si>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</si>
  <si>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</si>
  <si>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</si>
  <si>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</si>
  <si>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</si>
  <si>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</si>
  <si>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</si>
  <si>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</si>
  <si>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</si>
  <si>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</si>
  <si>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</si>
  <si>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</si>
  <si>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</si>
  <si>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</si>
  <si>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</si>
  <si>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</si>
  <si>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</si>
  <si>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</si>
  <si>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</si>
  <si>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</si>
  <si>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</si>
  <si>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</si>
  <si>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</si>
  <si>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</si>
  <si>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</si>
  <si>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</si>
  <si>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</si>
  <si>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</si>
  <si>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</si>
  <si>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</si>
  <si>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</si>
  <si>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</si>
  <si>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</si>
  <si>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</si>
  <si>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</si>
  <si>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</si>
  <si>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</si>
  <si>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</si>
  <si>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</si>
  <si>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</si>
  <si>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</si>
  <si>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</si>
  <si>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</si>
  <si>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</si>
  <si>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</si>
  <si>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</si>
  <si>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</si>
  <si>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</si>
  <si>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</si>
  <si>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</si>
  <si>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</si>
  <si>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</si>
  <si>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</si>
  <si>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</si>
  <si>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</si>
  <si>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</si>
  <si>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</si>
  <si>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</si>
  <si>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</si>
  <si>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</si>
  <si>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</si>
  <si>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</si>
  <si>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</si>
  <si>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</si>
  <si>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</si>
  <si>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</si>
  <si>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</si>
  <si>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</si>
  <si>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</si>
  <si>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</si>
  <si>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</si>
  <si>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</si>
  <si>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</si>
  <si>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</si>
  <si>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</si>
  <si>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</si>
  <si>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</si>
  <si>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</si>
  <si>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</si>
  <si>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</si>
  <si>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</si>
  <si>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</si>
  <si>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</si>
  <si>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</si>
  <si>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</si>
  <si>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</si>
  <si>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</si>
  <si>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</si>
  <si>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</si>
  <si>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</si>
  <si>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</si>
  <si>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</si>
  <si>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</si>
  <si>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</si>
  <si>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</si>
  <si>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</si>
  <si>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</si>
  <si>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</si>
  <si>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</si>
  <si>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</si>
  <si>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</si>
  <si>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</si>
  <si>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</si>
  <si>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</si>
  <si>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</si>
  <si>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</si>
  <si>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</si>
  <si>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</si>
  <si>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</si>
  <si>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</si>
  <si>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</si>
  <si>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</si>
  <si>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</si>
  <si>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</si>
  <si>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</si>
  <si>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</si>
  <si>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</si>
  <si>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</si>
  <si>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</si>
  <si>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</si>
  <si>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</si>
  <si>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</si>
  <si>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</si>
  <si>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</si>
  <si>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</si>
  <si>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</si>
  <si>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</si>
  <si>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</si>
  <si>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</si>
  <si>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</si>
  <si>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</si>
  <si>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</si>
  <si>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</si>
  <si>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</si>
  <si>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</si>
  <si>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</si>
  <si>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</si>
  <si>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</si>
  <si>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</si>
  <si>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</si>
  <si>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</si>
  <si>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</si>
  <si>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</si>
  <si>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</si>
  <si>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</si>
  <si>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</si>
  <si>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</si>
  <si>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</si>
  <si>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</si>
  <si>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</si>
  <si>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</si>
  <si>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</si>
  <si>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</si>
  <si>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</si>
  <si>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</si>
  <si>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</si>
  <si>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</si>
  <si>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</si>
  <si>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</si>
  <si>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</si>
  <si>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</si>
  <si>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</si>
  <si>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</si>
  <si>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</si>
  <si>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</si>
  <si>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</si>
  <si>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</si>
  <si>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</si>
  <si>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</si>
  <si>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</si>
  <si>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</si>
  <si>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</si>
  <si>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</si>
  <si>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</si>
  <si>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</si>
  <si>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</si>
  <si>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</si>
  <si>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</si>
  <si>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</si>
  <si>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</si>
  <si>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</si>
  <si>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</si>
  <si>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</si>
  <si>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</si>
  <si>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</si>
  <si>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</si>
  <si>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</si>
  <si>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</si>
  <si>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</si>
  <si>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</si>
  <si>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</si>
  <si>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</si>
  <si>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</si>
  <si>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</si>
  <si>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</si>
  <si>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</si>
  <si>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</si>
  <si>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</si>
  <si>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</si>
  <si>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</si>
  <si>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</si>
  <si>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</si>
  <si>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</si>
  <si>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</si>
  <si>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</si>
  <si>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</si>
  <si>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</si>
  <si>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</si>
  <si>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</si>
  <si>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</si>
  <si>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</si>
  <si>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</si>
  <si>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</si>
  <si>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</si>
  <si>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</si>
  <si>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</si>
  <si>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</si>
  <si>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</si>
  <si>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</si>
  <si>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</si>
  <si>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</si>
  <si>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</si>
  <si>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</si>
  <si>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</si>
  <si>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</si>
  <si>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</si>
  <si>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</si>
  <si>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</si>
  <si>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</si>
  <si>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</si>
  <si>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</si>
  <si>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</si>
  <si>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</si>
  <si>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</si>
  <si>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</si>
  <si>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</si>
  <si>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</si>
  <si>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</si>
  <si>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</si>
  <si>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</si>
  <si>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</si>
  <si>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</si>
  <si>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</si>
  <si>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</si>
  <si>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</si>
  <si>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</si>
  <si>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</si>
  <si>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</si>
  <si>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</si>
  <si>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</si>
  <si>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</si>
  <si>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</si>
  <si>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</si>
  <si>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</si>
  <si>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</si>
  <si>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</si>
  <si>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2013 update projected ARR = $155,652,292 // PTP rate $1,586.22</t>
  </si>
  <si>
    <t>CY2012 True-Up ARR = $148,229,152 // PTP rate $1,510.57</t>
  </si>
  <si>
    <t>CY2013 True-Up ARR = $145,213,454 // PTP rate = $1,491.39</t>
  </si>
  <si>
    <t>2014 update projected ARR = $154,431,445 // PTP rate = $1,586.06</t>
  </si>
  <si>
    <t>from 2013 Update*</t>
  </si>
  <si>
    <t xml:space="preserve"> from 2014 update*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</si>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</sst>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3" fillId="35" borderId="52" xfId="0" applyFont="1" applyFill="1" applyBorder="1" applyAlignment="1">
      <alignment horizontal="center" wrapText="1"/>
    </xf>
    <xf numFmtId="0" fontId="13" fillId="35" borderId="53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4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44" fontId="13" fillId="36" borderId="54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8" fontId="13" fillId="36" borderId="57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7" xfId="44" applyFont="1" applyFill="1" applyBorder="1" applyAlignment="1">
      <alignment/>
    </xf>
    <xf numFmtId="44" fontId="13" fillId="36" borderId="55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44" fontId="13" fillId="38" borderId="57" xfId="44" applyFont="1" applyFill="1" applyBorder="1" applyAlignment="1">
      <alignment/>
    </xf>
    <xf numFmtId="44" fontId="13" fillId="36" borderId="55" xfId="0" applyNumberFormat="1" applyFont="1" applyFill="1" applyBorder="1" applyAlignment="1">
      <alignment horizontal="center"/>
    </xf>
    <xf numFmtId="44" fontId="13" fillId="38" borderId="55" xfId="44" applyFont="1" applyFill="1" applyBorder="1" applyAlignment="1">
      <alignment/>
    </xf>
    <xf numFmtId="10" fontId="0" fillId="39" borderId="0" xfId="59" applyNumberFormat="1" applyFont="1" applyFill="1" applyAlignment="1" quotePrefix="1">
      <alignment horizontal="center"/>
    </xf>
    <xf numFmtId="0" fontId="0" fillId="0" borderId="0" xfId="0" applyFont="1" applyAlignment="1" quotePrefix="1">
      <alignment horizontal="left"/>
    </xf>
    <xf numFmtId="44" fontId="13" fillId="39" borderId="57" xfId="44" applyFont="1" applyFill="1" applyBorder="1" applyAlignment="1">
      <alignment/>
    </xf>
    <xf numFmtId="44" fontId="13" fillId="39" borderId="55" xfId="44" applyFont="1" applyFill="1" applyBorder="1" applyAlignment="1">
      <alignment/>
    </xf>
    <xf numFmtId="44" fontId="13" fillId="36" borderId="56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44" fontId="13" fillId="18" borderId="57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39" borderId="0" xfId="59" applyNumberFormat="1" applyFont="1" applyFill="1" applyAlignment="1" quotePrefix="1">
      <alignment horizontal="center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55" xfId="44" applyFont="1" applyFill="1" applyBorder="1" applyAlignment="1">
      <alignment/>
    </xf>
    <xf numFmtId="0" fontId="0" fillId="13" borderId="0" xfId="0" applyFont="1" applyFill="1" applyAlignment="1">
      <alignment/>
    </xf>
    <xf numFmtId="0" fontId="0" fillId="18" borderId="0" xfId="0" applyFont="1" applyFill="1" applyAlignment="1">
      <alignment/>
    </xf>
    <xf numFmtId="172" fontId="0" fillId="39" borderId="32" xfId="0" applyNumberFormat="1" applyFill="1" applyBorder="1" applyAlignment="1">
      <alignment horizontal="center"/>
    </xf>
    <xf numFmtId="172" fontId="0" fillId="39" borderId="57" xfId="0" applyNumberFormat="1" applyFill="1" applyBorder="1" applyAlignment="1">
      <alignment horizontal="center"/>
    </xf>
    <xf numFmtId="172" fontId="0" fillId="39" borderId="55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167" fontId="0" fillId="41" borderId="0" xfId="42" applyNumberFormat="1" applyFont="1" applyFill="1" applyAlignment="1">
      <alignment horizontal="center"/>
    </xf>
    <xf numFmtId="44" fontId="13" fillId="13" borderId="57" xfId="44" applyFont="1" applyFill="1" applyBorder="1" applyAlignment="1">
      <alignment/>
    </xf>
    <xf numFmtId="44" fontId="13" fillId="13" borderId="55" xfId="44" applyFont="1" applyFill="1" applyBorder="1" applyAlignment="1">
      <alignment/>
    </xf>
    <xf numFmtId="44" fontId="24" fillId="10" borderId="57" xfId="44" applyFont="1" applyFill="1" applyBorder="1" applyAlignment="1">
      <alignment horizontal="right"/>
    </xf>
    <xf numFmtId="44" fontId="24" fillId="10" borderId="55" xfId="44" applyFont="1" applyFill="1" applyBorder="1" applyAlignment="1">
      <alignment horizontal="right"/>
    </xf>
    <xf numFmtId="44" fontId="13" fillId="13" borderId="56" xfId="44" applyFont="1" applyFill="1" applyBorder="1" applyAlignment="1">
      <alignment horizontal="center"/>
    </xf>
    <xf numFmtId="44" fontId="13" fillId="13" borderId="57" xfId="44" applyFont="1" applyFill="1" applyBorder="1" applyAlignment="1">
      <alignment horizontal="center"/>
    </xf>
    <xf numFmtId="44" fontId="13" fillId="13" borderId="55" xfId="44" applyFont="1" applyFill="1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0" fontId="22" fillId="40" borderId="0" xfId="0" applyFont="1" applyFill="1" applyAlignment="1">
      <alignment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4" fontId="6" fillId="40" borderId="10" xfId="0" applyNumberFormat="1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60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3-05-01T00:00:00.000"/>
        <d v="2010-11-01T00:00:00.000"/>
        <d v="2011-11-01T00:00:00.000"/>
        <d v="2012-11-01T00:00:00.000"/>
        <d v="2013-11-01T00:00:00.000"/>
        <d v="2010-06-01T00:00:00.000"/>
        <d v="2011-06-01T00:00:00.000"/>
        <d v="2012-06-01T00:00:00.000"/>
        <d v="2013-06-01T00:00:00.000"/>
        <d v="2010-12-01T00:00:00.000"/>
        <d v="2011-12-01T00:00:00.000"/>
        <d v="2012-12-01T00:00:00.000"/>
        <d v="2013-12-01T00:00:00.000"/>
        <d v="2010-01-01T00:00:00.000"/>
        <d v="2011-01-01T00:00:00.000"/>
        <d v="2012-01-01T00:00:00.000"/>
        <d v="2013-01-01T00:00:00.000"/>
        <d v="2010-07-01T00:00:00.000"/>
        <d v="2011-07-01T00:00:00.000"/>
        <d v="2012-07-01T00:00:00.000"/>
        <d v="2013-07-01T00:00:00.000"/>
        <d v="2010-02-01T00:00:00.000"/>
        <d v="2011-02-01T00:00:00.000"/>
        <d v="2012-02-01T00:00:00.000"/>
        <d v="2013-02-01T00:00:00.000"/>
        <d v="2010-08-01T00:00:00.000"/>
        <d v="2011-08-01T00:00:00.000"/>
        <d v="2012-08-01T00:00:00.000"/>
        <d v="2013-08-01T00:00:00.000"/>
        <d v="2010-03-01T00:00:00.000"/>
        <d v="2011-03-01T00:00:00.000"/>
        <d v="2012-03-01T00:00:00.000"/>
        <d v="2013-03-01T00:00:00.000"/>
        <d v="2010-09-01T00:00:00.000"/>
        <d v="2011-09-01T00:00:00.000"/>
        <d v="2012-09-01T00:00:00.000"/>
        <d v="2013-09-01T00:00:00.000"/>
        <d v="2010-04-01T00:00:00.000"/>
        <d v="2011-04-01T00:00:00.000"/>
        <d v="2012-04-01T00:00:00.000"/>
        <d v="2013-04-01T00:00:00.000"/>
        <d v="2010-10-01T00:00:00.000"/>
        <d v="2011-10-01T00:00:00.000"/>
        <d v="2012-10-01T00:00:00.000"/>
        <d v="2013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61">
        <item m="1" x="25"/>
        <item m="1" x="33"/>
        <item m="1" x="41"/>
        <item m="1" x="49"/>
        <item m="1" x="57"/>
        <item m="1" x="17"/>
        <item m="1" x="29"/>
        <item m="1" x="37"/>
        <item m="1" x="45"/>
        <item m="1" x="53"/>
        <item m="1" x="13"/>
        <item m="1" x="21"/>
        <item m="1" x="26"/>
        <item m="1" x="34"/>
        <item m="1" x="42"/>
        <item m="1" x="50"/>
        <item m="1" x="58"/>
        <item m="1" x="18"/>
        <item m="1" x="30"/>
        <item m="1" x="38"/>
        <item m="1" x="46"/>
        <item m="1" x="54"/>
        <item m="1" x="14"/>
        <item m="1" x="22"/>
        <item m="1" x="27"/>
        <item m="1" x="35"/>
        <item m="1" x="43"/>
        <item m="1" x="51"/>
        <item m="1" x="59"/>
        <item m="1" x="19"/>
        <item m="1" x="31"/>
        <item m="1" x="39"/>
        <item m="1" x="47"/>
        <item m="1" x="55"/>
        <item m="1" x="15"/>
        <item m="1" x="23"/>
        <item m="1" x="28"/>
        <item m="1" x="36"/>
        <item m="1" x="44"/>
        <item m="1" x="52"/>
        <item m="1" x="12"/>
        <item m="1" x="20"/>
        <item m="1" x="32"/>
        <item m="1" x="40"/>
        <item m="1" x="48"/>
        <item m="1" x="56"/>
        <item m="1" x="16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249</v>
      </c>
    </row>
    <row r="3" spans="1:2" ht="12.75">
      <c r="A3" s="48">
        <v>1</v>
      </c>
      <c r="B3" s="25" t="s">
        <v>252</v>
      </c>
    </row>
    <row r="4" spans="1:2" ht="12.75">
      <c r="A4" s="48">
        <v>2</v>
      </c>
      <c r="B4" s="25" t="s">
        <v>251</v>
      </c>
    </row>
    <row r="5" spans="1:2" ht="12.75">
      <c r="A5" s="48">
        <v>3</v>
      </c>
      <c r="B5" s="25" t="s">
        <v>253</v>
      </c>
    </row>
    <row r="6" spans="1:2" ht="12.75">
      <c r="A6" s="48">
        <v>4</v>
      </c>
      <c r="B6" s="324" t="s">
        <v>321</v>
      </c>
    </row>
    <row r="7" spans="1:2" ht="12.75">
      <c r="A7" s="48">
        <v>5</v>
      </c>
      <c r="B7" s="25" t="s">
        <v>256</v>
      </c>
    </row>
    <row r="8" spans="1:2" ht="12.75">
      <c r="A8" s="48">
        <v>6</v>
      </c>
      <c r="B8" s="25" t="s">
        <v>257</v>
      </c>
    </row>
    <row r="9" spans="1:2" ht="12.75">
      <c r="A9" s="48">
        <v>7</v>
      </c>
      <c r="B9" s="2" t="s">
        <v>258</v>
      </c>
    </row>
    <row r="10" spans="1:2" ht="12.75">
      <c r="A10" s="48">
        <v>8</v>
      </c>
      <c r="B10" s="25" t="s">
        <v>261</v>
      </c>
    </row>
    <row r="11" spans="1:2" ht="12.75">
      <c r="A11" s="48"/>
      <c r="B11" s="25" t="s">
        <v>262</v>
      </c>
    </row>
    <row r="12" spans="1:2" ht="12.75">
      <c r="A12" s="48"/>
      <c r="B12" s="2" t="s">
        <v>263</v>
      </c>
    </row>
    <row r="13" spans="1:2" ht="12.75">
      <c r="A13" s="48"/>
      <c r="B13" s="2" t="s">
        <v>264</v>
      </c>
    </row>
    <row r="14" spans="1:2" ht="12.75">
      <c r="A14" s="48">
        <v>9</v>
      </c>
      <c r="B14" s="25" t="s">
        <v>270</v>
      </c>
    </row>
    <row r="15" spans="1:2" ht="12.75">
      <c r="A15" s="48">
        <v>10</v>
      </c>
      <c r="B15" s="25" t="s">
        <v>272</v>
      </c>
    </row>
    <row r="16" spans="1:2" ht="12.75">
      <c r="A16" s="48">
        <v>11</v>
      </c>
      <c r="B16" s="25" t="s">
        <v>273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="125" zoomScaleNormal="125" zoomScalePageLayoutView="0" workbookViewId="0" topLeftCell="A1">
      <pane ySplit="4" topLeftCell="A75" activePane="bottomLeft" state="frozen"/>
      <selection pane="topLeft" activeCell="A1" sqref="A1"/>
      <selection pane="bottomLeft" activeCell="C95" sqref="C95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8.421875" style="0" customWidth="1"/>
    <col min="7" max="7" width="18.8515625" style="0" customWidth="1"/>
  </cols>
  <sheetData>
    <row r="2" ht="15.75">
      <c r="B2" s="212" t="s">
        <v>178</v>
      </c>
    </row>
    <row r="3" ht="13.5" thickBot="1">
      <c r="B3" s="211" t="s">
        <v>182</v>
      </c>
    </row>
    <row r="4" spans="2:6" ht="51.75" thickBot="1">
      <c r="B4" s="213" t="s">
        <v>175</v>
      </c>
      <c r="C4" s="214" t="s">
        <v>179</v>
      </c>
      <c r="D4" s="214" t="s">
        <v>197</v>
      </c>
      <c r="E4" s="215" t="s">
        <v>176</v>
      </c>
      <c r="F4" s="216" t="s">
        <v>185</v>
      </c>
    </row>
    <row r="5" spans="2:6" ht="13.5" thickBot="1">
      <c r="B5" s="219">
        <v>39448</v>
      </c>
      <c r="C5" s="221">
        <v>922.47</v>
      </c>
      <c r="D5" s="209" t="s">
        <v>173</v>
      </c>
      <c r="E5" s="210" t="s">
        <v>173</v>
      </c>
      <c r="F5" s="205" t="s">
        <v>174</v>
      </c>
    </row>
    <row r="6" spans="2:6" ht="12.75">
      <c r="B6" s="208">
        <v>39479</v>
      </c>
      <c r="C6" s="222" t="s">
        <v>116</v>
      </c>
      <c r="D6" s="228">
        <v>1439.49</v>
      </c>
      <c r="E6" s="239">
        <v>1528.9</v>
      </c>
      <c r="F6" s="205" t="s">
        <v>183</v>
      </c>
    </row>
    <row r="7" spans="2:6" ht="12.75">
      <c r="B7" s="208">
        <v>39508</v>
      </c>
      <c r="C7" s="222" t="s">
        <v>116</v>
      </c>
      <c r="D7" s="228">
        <v>1439.49</v>
      </c>
      <c r="E7" s="239">
        <v>1528.9</v>
      </c>
      <c r="F7" s="205"/>
    </row>
    <row r="8" spans="2:6" ht="12.75">
      <c r="B8" s="208">
        <v>39539</v>
      </c>
      <c r="C8" s="222" t="s">
        <v>116</v>
      </c>
      <c r="D8" s="228">
        <v>1439.49</v>
      </c>
      <c r="E8" s="239">
        <v>1528.9</v>
      </c>
      <c r="F8" s="204"/>
    </row>
    <row r="9" spans="2:6" ht="12.75">
      <c r="B9" s="208">
        <v>39569</v>
      </c>
      <c r="C9" s="222" t="s">
        <v>116</v>
      </c>
      <c r="D9" s="228">
        <v>1439.49</v>
      </c>
      <c r="E9" s="239">
        <v>1528.9</v>
      </c>
      <c r="F9" s="205" t="s">
        <v>181</v>
      </c>
    </row>
    <row r="10" spans="2:5" ht="13.5" thickBot="1">
      <c r="B10" s="208">
        <v>39600</v>
      </c>
      <c r="C10" s="222" t="s">
        <v>116</v>
      </c>
      <c r="D10" s="228">
        <v>1439.49</v>
      </c>
      <c r="E10" s="239">
        <v>1528.9</v>
      </c>
    </row>
    <row r="11" spans="2:6" ht="12.75">
      <c r="B11" s="208">
        <v>39630</v>
      </c>
      <c r="C11" s="223" t="s">
        <v>116</v>
      </c>
      <c r="D11" s="229">
        <v>1555.76</v>
      </c>
      <c r="E11" s="239">
        <v>1528.9</v>
      </c>
      <c r="F11" s="205" t="s">
        <v>184</v>
      </c>
    </row>
    <row r="12" spans="2:6" ht="12.75">
      <c r="B12" s="208">
        <v>39661</v>
      </c>
      <c r="C12" s="224" t="s">
        <v>116</v>
      </c>
      <c r="D12" s="229">
        <v>1555.76</v>
      </c>
      <c r="E12" s="239">
        <v>1528.9</v>
      </c>
      <c r="F12" s="204"/>
    </row>
    <row r="13" spans="2:6" ht="12.75">
      <c r="B13" s="208">
        <v>39692</v>
      </c>
      <c r="C13" s="224" t="s">
        <v>116</v>
      </c>
      <c r="D13" s="229">
        <v>1555.76</v>
      </c>
      <c r="E13" s="239">
        <v>1528.9</v>
      </c>
      <c r="F13" s="204"/>
    </row>
    <row r="14" spans="2:8" ht="12.75">
      <c r="B14" s="208">
        <v>39722</v>
      </c>
      <c r="C14" s="224" t="s">
        <v>116</v>
      </c>
      <c r="D14" s="229">
        <v>1555.76</v>
      </c>
      <c r="E14" s="239">
        <v>1528.9</v>
      </c>
      <c r="H14" s="205"/>
    </row>
    <row r="15" spans="2:6" ht="12.75">
      <c r="B15" s="208">
        <v>39753</v>
      </c>
      <c r="C15" s="224" t="s">
        <v>116</v>
      </c>
      <c r="D15" s="229">
        <v>1555.76</v>
      </c>
      <c r="E15" s="239">
        <v>1528.9</v>
      </c>
      <c r="F15" s="204"/>
    </row>
    <row r="16" spans="2:6" ht="13.5" thickBot="1">
      <c r="B16" s="220">
        <v>39783</v>
      </c>
      <c r="C16" s="224" t="s">
        <v>116</v>
      </c>
      <c r="D16" s="229">
        <v>1555.76</v>
      </c>
      <c r="E16" s="240">
        <v>1528.9</v>
      </c>
      <c r="F16" s="204"/>
    </row>
    <row r="17" spans="2:6" ht="12.75">
      <c r="B17" s="208">
        <v>39814</v>
      </c>
      <c r="C17" s="224" t="s">
        <v>116</v>
      </c>
      <c r="D17" s="229">
        <v>1555.76</v>
      </c>
      <c r="E17" s="239">
        <v>1394.11</v>
      </c>
      <c r="F17" s="204"/>
    </row>
    <row r="18" spans="2:6" ht="13.5" thickBot="1">
      <c r="B18" s="208">
        <v>39845</v>
      </c>
      <c r="C18" s="224" t="s">
        <v>116</v>
      </c>
      <c r="D18" s="230">
        <v>1555.76</v>
      </c>
      <c r="E18" s="239">
        <v>1394.11</v>
      </c>
      <c r="F18" s="204"/>
    </row>
    <row r="19" spans="2:6" ht="12.75">
      <c r="B19" s="208">
        <v>39873</v>
      </c>
      <c r="C19" s="225">
        <v>1527.92</v>
      </c>
      <c r="D19" s="206"/>
      <c r="E19" s="239">
        <v>1394.11</v>
      </c>
      <c r="F19" s="205" t="s">
        <v>177</v>
      </c>
    </row>
    <row r="20" spans="2:6" ht="12.75">
      <c r="B20" s="208">
        <v>39904</v>
      </c>
      <c r="C20" s="225">
        <v>1527.92</v>
      </c>
      <c r="D20" s="206"/>
      <c r="E20" s="239">
        <v>1394.11</v>
      </c>
      <c r="F20" s="205" t="s">
        <v>186</v>
      </c>
    </row>
    <row r="21" spans="2:6" ht="12.75">
      <c r="B21" s="208">
        <v>39934</v>
      </c>
      <c r="C21" s="225">
        <v>1527.92</v>
      </c>
      <c r="D21" s="206"/>
      <c r="E21" s="239">
        <v>1394.11</v>
      </c>
      <c r="F21" s="205" t="s">
        <v>180</v>
      </c>
    </row>
    <row r="22" spans="2:6" ht="13.5" thickBot="1">
      <c r="B22" s="208">
        <v>39965</v>
      </c>
      <c r="C22" s="226">
        <v>1527.92</v>
      </c>
      <c r="D22" s="206"/>
      <c r="E22" s="239">
        <v>1394.11</v>
      </c>
      <c r="F22" s="205" t="s">
        <v>189</v>
      </c>
    </row>
    <row r="23" spans="2:6" ht="12.75">
      <c r="B23" s="208">
        <v>39995</v>
      </c>
      <c r="C23" s="227">
        <v>1592.08</v>
      </c>
      <c r="D23" s="237">
        <v>1616.17</v>
      </c>
      <c r="E23" s="239">
        <v>1394.11</v>
      </c>
      <c r="F23" s="205" t="s">
        <v>190</v>
      </c>
    </row>
    <row r="24" spans="2:6" ht="12.75">
      <c r="B24" s="208">
        <v>40026</v>
      </c>
      <c r="C24" s="225">
        <v>1616.17</v>
      </c>
      <c r="D24" s="206"/>
      <c r="E24" s="239">
        <v>1394.11</v>
      </c>
      <c r="F24" s="205" t="s">
        <v>196</v>
      </c>
    </row>
    <row r="25" spans="2:6" ht="12.75">
      <c r="B25" s="208">
        <v>40057</v>
      </c>
      <c r="C25" s="225">
        <v>1616.17</v>
      </c>
      <c r="D25" s="206"/>
      <c r="E25" s="239">
        <v>1394.11</v>
      </c>
      <c r="F25" s="205" t="s">
        <v>191</v>
      </c>
    </row>
    <row r="26" spans="2:6" ht="12.75">
      <c r="B26" s="208">
        <v>40087</v>
      </c>
      <c r="C26" s="225">
        <v>1616.17</v>
      </c>
      <c r="D26" s="206"/>
      <c r="E26" s="239">
        <v>1394.11</v>
      </c>
      <c r="F26" s="256" t="s">
        <v>216</v>
      </c>
    </row>
    <row r="27" spans="2:6" ht="12.75">
      <c r="B27" s="208">
        <v>40118</v>
      </c>
      <c r="C27" s="225">
        <v>1616.17</v>
      </c>
      <c r="D27" s="206"/>
      <c r="E27" s="239">
        <v>1394.11</v>
      </c>
      <c r="F27" s="205" t="s">
        <v>217</v>
      </c>
    </row>
    <row r="28" spans="2:6" ht="13.5" thickBot="1">
      <c r="B28" s="220">
        <v>40148</v>
      </c>
      <c r="C28" s="225">
        <v>1616.17</v>
      </c>
      <c r="D28" s="206"/>
      <c r="E28" s="321">
        <v>1394.11</v>
      </c>
      <c r="F28" s="204"/>
    </row>
    <row r="29" spans="2:6" ht="12.75">
      <c r="B29" s="208">
        <v>40179</v>
      </c>
      <c r="C29" s="225">
        <v>1616.17</v>
      </c>
      <c r="D29" s="206"/>
      <c r="E29" s="239">
        <v>1458.03</v>
      </c>
      <c r="F29" s="314" t="s">
        <v>227</v>
      </c>
    </row>
    <row r="30" spans="2:6" ht="12.75">
      <c r="B30" s="208">
        <v>40210</v>
      </c>
      <c r="C30" s="225">
        <v>1616.17</v>
      </c>
      <c r="D30" s="206"/>
      <c r="E30" s="239">
        <v>1458.03</v>
      </c>
      <c r="F30" s="314" t="s">
        <v>225</v>
      </c>
    </row>
    <row r="31" spans="2:6" ht="12.75">
      <c r="B31" s="208">
        <v>40238</v>
      </c>
      <c r="C31" s="225">
        <v>1616.17</v>
      </c>
      <c r="D31" s="206"/>
      <c r="E31" s="239">
        <v>1458.03</v>
      </c>
      <c r="F31" s="319" t="s">
        <v>226</v>
      </c>
    </row>
    <row r="32" spans="2:5" ht="12.75">
      <c r="B32" s="208">
        <v>40269</v>
      </c>
      <c r="C32" s="225">
        <v>1616.17</v>
      </c>
      <c r="D32" s="206"/>
      <c r="E32" s="239">
        <v>1458.03</v>
      </c>
    </row>
    <row r="33" spans="1:6" ht="12.75">
      <c r="A33" s="238"/>
      <c r="B33" s="208">
        <v>40299</v>
      </c>
      <c r="C33" s="225">
        <v>1616.17</v>
      </c>
      <c r="D33" s="206"/>
      <c r="E33" s="239">
        <v>1458.03</v>
      </c>
      <c r="F33" s="204"/>
    </row>
    <row r="34" spans="2:6" ht="13.5" thickBot="1">
      <c r="B34" s="208">
        <v>40330</v>
      </c>
      <c r="C34" s="226">
        <v>1616.17</v>
      </c>
      <c r="D34" s="206"/>
      <c r="E34" s="239">
        <v>1458.03</v>
      </c>
      <c r="F34" s="204"/>
    </row>
    <row r="35" spans="2:6" ht="12.75">
      <c r="B35" s="208">
        <v>40360</v>
      </c>
      <c r="C35" s="227">
        <v>1616.17</v>
      </c>
      <c r="D35" s="237">
        <v>1414.66</v>
      </c>
      <c r="E35" s="239">
        <v>1458.03</v>
      </c>
      <c r="F35" s="205" t="s">
        <v>244</v>
      </c>
    </row>
    <row r="36" spans="2:6" ht="12.75">
      <c r="B36" s="208">
        <v>40391</v>
      </c>
      <c r="C36" s="225">
        <v>1616.17</v>
      </c>
      <c r="D36" s="237">
        <v>1414.66</v>
      </c>
      <c r="E36" s="239">
        <v>1458.03</v>
      </c>
      <c r="F36" s="205" t="s">
        <v>245</v>
      </c>
    </row>
    <row r="37" spans="2:6" ht="12.75">
      <c r="B37" s="208">
        <v>40422</v>
      </c>
      <c r="C37" s="225">
        <v>1616.17</v>
      </c>
      <c r="D37" s="237">
        <v>1414.66</v>
      </c>
      <c r="E37" s="239">
        <v>1458.03</v>
      </c>
      <c r="F37" s="204"/>
    </row>
    <row r="38" spans="2:6" ht="12.75">
      <c r="B38" s="208">
        <v>40452</v>
      </c>
      <c r="C38" s="225">
        <v>1616.17</v>
      </c>
      <c r="D38" s="237">
        <v>1414.66</v>
      </c>
      <c r="E38" s="239">
        <v>1458.03</v>
      </c>
      <c r="F38" s="204"/>
    </row>
    <row r="39" spans="2:6" ht="12.75">
      <c r="B39" s="208">
        <v>40483</v>
      </c>
      <c r="C39" s="225">
        <v>1616.17</v>
      </c>
      <c r="D39" s="237">
        <v>1414.66</v>
      </c>
      <c r="E39" s="239">
        <v>1458.03</v>
      </c>
      <c r="F39" s="204"/>
    </row>
    <row r="40" spans="2:6" ht="13.5" thickBot="1">
      <c r="B40" s="220">
        <v>40513</v>
      </c>
      <c r="C40" s="225">
        <v>1414.66</v>
      </c>
      <c r="D40" s="262"/>
      <c r="E40" s="321">
        <v>1458.03</v>
      </c>
      <c r="F40" s="204" t="s">
        <v>246</v>
      </c>
    </row>
    <row r="41" spans="2:6" ht="12.75">
      <c r="B41" s="208">
        <v>40544</v>
      </c>
      <c r="C41" s="225">
        <v>1414.66</v>
      </c>
      <c r="D41" s="262"/>
      <c r="E41" s="325">
        <v>1403.03</v>
      </c>
      <c r="F41" s="205" t="s">
        <v>247</v>
      </c>
    </row>
    <row r="42" spans="2:6" ht="12.75">
      <c r="B42" s="208">
        <v>40575</v>
      </c>
      <c r="C42" s="225">
        <v>1414.66</v>
      </c>
      <c r="D42" s="262"/>
      <c r="E42" s="325">
        <f>E41</f>
        <v>1403.03</v>
      </c>
      <c r="F42" s="204" t="s">
        <v>248</v>
      </c>
    </row>
    <row r="43" spans="2:6" ht="12.75">
      <c r="B43" s="208">
        <v>40603</v>
      </c>
      <c r="C43" s="225">
        <v>1414.66</v>
      </c>
      <c r="D43" s="206"/>
      <c r="E43" s="325">
        <f aca="true" t="shared" si="0" ref="E43:E52">E42</f>
        <v>1403.03</v>
      </c>
      <c r="F43" s="204"/>
    </row>
    <row r="44" spans="2:6" ht="12.75">
      <c r="B44" s="208">
        <v>40634</v>
      </c>
      <c r="C44" s="225">
        <v>1414.66</v>
      </c>
      <c r="D44" s="206"/>
      <c r="E44" s="325">
        <f t="shared" si="0"/>
        <v>1403.03</v>
      </c>
      <c r="F44" s="204"/>
    </row>
    <row r="45" spans="2:6" ht="12.75">
      <c r="B45" s="208">
        <v>40664</v>
      </c>
      <c r="C45" s="225">
        <v>1414.66</v>
      </c>
      <c r="D45" s="206"/>
      <c r="E45" s="325">
        <f t="shared" si="0"/>
        <v>1403.03</v>
      </c>
      <c r="F45" s="261" t="s">
        <v>231</v>
      </c>
    </row>
    <row r="46" spans="2:6" ht="13.5" thickBot="1">
      <c r="B46" s="208">
        <v>40695</v>
      </c>
      <c r="C46" s="226">
        <v>1414.66</v>
      </c>
      <c r="D46" s="207"/>
      <c r="E46" s="325">
        <f t="shared" si="0"/>
        <v>1403.03</v>
      </c>
      <c r="F46" s="205" t="s">
        <v>265</v>
      </c>
    </row>
    <row r="47" spans="2:6" ht="12.75">
      <c r="B47" s="208">
        <v>40725</v>
      </c>
      <c r="C47" s="327">
        <v>1414.66</v>
      </c>
      <c r="D47" s="331">
        <v>1529.9</v>
      </c>
      <c r="E47" s="325">
        <f t="shared" si="0"/>
        <v>1403.03</v>
      </c>
      <c r="F47" s="204" t="s">
        <v>242</v>
      </c>
    </row>
    <row r="48" spans="2:6" ht="12.75">
      <c r="B48" s="208">
        <v>40756</v>
      </c>
      <c r="C48" s="239">
        <v>1414.66</v>
      </c>
      <c r="D48" s="331">
        <f>D47</f>
        <v>1529.9</v>
      </c>
      <c r="E48" s="325">
        <f t="shared" si="0"/>
        <v>1403.03</v>
      </c>
      <c r="F48" s="204"/>
    </row>
    <row r="49" spans="2:6" ht="12.75">
      <c r="B49" s="208">
        <v>40787</v>
      </c>
      <c r="C49" s="239">
        <v>1414.66</v>
      </c>
      <c r="D49" s="331">
        <f>D48</f>
        <v>1529.9</v>
      </c>
      <c r="E49" s="325">
        <f t="shared" si="0"/>
        <v>1403.03</v>
      </c>
      <c r="F49" s="204"/>
    </row>
    <row r="50" spans="2:6" ht="12.75">
      <c r="B50" s="208">
        <v>40817</v>
      </c>
      <c r="C50" s="239">
        <v>1414.66</v>
      </c>
      <c r="D50" s="331">
        <f>D49</f>
        <v>1529.9</v>
      </c>
      <c r="E50" s="325">
        <f t="shared" si="0"/>
        <v>1403.03</v>
      </c>
      <c r="F50" s="314" t="s">
        <v>266</v>
      </c>
    </row>
    <row r="51" spans="2:6" ht="12.75">
      <c r="B51" s="208">
        <v>40848</v>
      </c>
      <c r="C51" s="239">
        <f>C50</f>
        <v>1414.66</v>
      </c>
      <c r="D51" s="331">
        <f>D50</f>
        <v>1529.9</v>
      </c>
      <c r="E51" s="325">
        <f t="shared" si="0"/>
        <v>1403.03</v>
      </c>
      <c r="F51" s="205" t="s">
        <v>267</v>
      </c>
    </row>
    <row r="52" spans="2:6" ht="13.5" thickBot="1">
      <c r="B52" s="313">
        <v>40878</v>
      </c>
      <c r="C52" s="239">
        <f>C51</f>
        <v>1414.66</v>
      </c>
      <c r="D52" s="331">
        <f>D51</f>
        <v>1529.9</v>
      </c>
      <c r="E52" s="326">
        <f t="shared" si="0"/>
        <v>1403.03</v>
      </c>
      <c r="F52" s="204" t="s">
        <v>243</v>
      </c>
    </row>
    <row r="53" spans="2:6" ht="12.75">
      <c r="B53" s="208">
        <v>40909</v>
      </c>
      <c r="C53" s="239">
        <f>D52</f>
        <v>1529.9</v>
      </c>
      <c r="D53" s="317"/>
      <c r="E53" s="332">
        <v>1510.57</v>
      </c>
      <c r="F53" s="205" t="s">
        <v>268</v>
      </c>
    </row>
    <row r="54" spans="2:5" ht="12.75">
      <c r="B54" s="208">
        <v>40940</v>
      </c>
      <c r="C54" s="239">
        <f>C53</f>
        <v>1529.9</v>
      </c>
      <c r="D54" s="317"/>
      <c r="E54" s="332">
        <f>E53</f>
        <v>1510.57</v>
      </c>
    </row>
    <row r="55" spans="2:5" ht="12.75">
      <c r="B55" s="208">
        <v>40969</v>
      </c>
      <c r="C55" s="239">
        <f>C54</f>
        <v>1529.9</v>
      </c>
      <c r="D55" s="317"/>
      <c r="E55" s="332">
        <f aca="true" t="shared" si="1" ref="E55:E64">E54</f>
        <v>1510.57</v>
      </c>
    </row>
    <row r="56" spans="2:5" ht="12.75">
      <c r="B56" s="340">
        <v>41000</v>
      </c>
      <c r="C56" s="239">
        <f>C55</f>
        <v>1529.9</v>
      </c>
      <c r="D56" s="317"/>
      <c r="E56" s="332">
        <f t="shared" si="1"/>
        <v>1510.57</v>
      </c>
    </row>
    <row r="57" spans="2:6" ht="12.75">
      <c r="B57" s="340">
        <v>41030</v>
      </c>
      <c r="C57" s="239">
        <f>C56</f>
        <v>1529.9</v>
      </c>
      <c r="D57" s="317"/>
      <c r="E57" s="332">
        <f t="shared" si="1"/>
        <v>1510.57</v>
      </c>
      <c r="F57" s="314" t="s">
        <v>275</v>
      </c>
    </row>
    <row r="58" spans="2:6" ht="13.5" thickBot="1">
      <c r="B58" s="340">
        <v>41061</v>
      </c>
      <c r="C58" s="240">
        <f>C57</f>
        <v>1529.9</v>
      </c>
      <c r="D58" s="317"/>
      <c r="E58" s="332">
        <f t="shared" si="1"/>
        <v>1510.57</v>
      </c>
      <c r="F58" s="314" t="s">
        <v>276</v>
      </c>
    </row>
    <row r="59" spans="2:6" ht="12.75">
      <c r="B59" s="341">
        <v>41091</v>
      </c>
      <c r="C59" s="325">
        <v>1446.51</v>
      </c>
      <c r="D59" s="317"/>
      <c r="E59" s="332">
        <f t="shared" si="1"/>
        <v>1510.57</v>
      </c>
      <c r="F59" s="205" t="s">
        <v>274</v>
      </c>
    </row>
    <row r="60" spans="2:6" ht="12.75">
      <c r="B60" s="341">
        <v>41122</v>
      </c>
      <c r="C60" s="325">
        <f>C59</f>
        <v>1446.51</v>
      </c>
      <c r="D60" s="317"/>
      <c r="E60" s="332">
        <f t="shared" si="1"/>
        <v>1510.57</v>
      </c>
      <c r="F60" s="205" t="s">
        <v>269</v>
      </c>
    </row>
    <row r="61" spans="2:5" ht="12.75">
      <c r="B61" s="341">
        <v>41153</v>
      </c>
      <c r="C61" s="325">
        <f aca="true" t="shared" si="2" ref="C61:C70">C60</f>
        <v>1446.51</v>
      </c>
      <c r="D61" s="317"/>
      <c r="E61" s="332">
        <f t="shared" si="1"/>
        <v>1510.57</v>
      </c>
    </row>
    <row r="62" spans="2:5" ht="12.75">
      <c r="B62" s="341">
        <v>41183</v>
      </c>
      <c r="C62" s="325">
        <f t="shared" si="2"/>
        <v>1446.51</v>
      </c>
      <c r="D62" s="317"/>
      <c r="E62" s="332">
        <f t="shared" si="1"/>
        <v>1510.57</v>
      </c>
    </row>
    <row r="63" spans="2:6" ht="12.75">
      <c r="B63" s="341">
        <v>41214</v>
      </c>
      <c r="C63" s="325">
        <f t="shared" si="2"/>
        <v>1446.51</v>
      </c>
      <c r="D63" s="317"/>
      <c r="E63" s="332">
        <f t="shared" si="1"/>
        <v>1510.57</v>
      </c>
      <c r="F63" s="339" t="s">
        <v>329</v>
      </c>
    </row>
    <row r="64" spans="2:6" ht="13.5" thickBot="1">
      <c r="B64" s="342">
        <v>41244</v>
      </c>
      <c r="C64" s="325">
        <f t="shared" si="2"/>
        <v>1446.51</v>
      </c>
      <c r="D64" s="317"/>
      <c r="E64" s="332">
        <f t="shared" si="1"/>
        <v>1510.57</v>
      </c>
      <c r="F64" s="339" t="s">
        <v>328</v>
      </c>
    </row>
    <row r="65" spans="2:5" ht="12.75">
      <c r="B65" s="341">
        <v>41275</v>
      </c>
      <c r="C65" s="325">
        <f t="shared" si="2"/>
        <v>1446.51</v>
      </c>
      <c r="D65" s="167"/>
      <c r="E65" s="349">
        <v>1491.39</v>
      </c>
    </row>
    <row r="66" spans="2:5" ht="12.75">
      <c r="B66" s="341">
        <v>41306</v>
      </c>
      <c r="C66" s="325">
        <f t="shared" si="2"/>
        <v>1446.51</v>
      </c>
      <c r="D66" s="167"/>
      <c r="E66" s="350">
        <f>E65</f>
        <v>1491.39</v>
      </c>
    </row>
    <row r="67" spans="2:5" ht="12.75">
      <c r="B67" s="341">
        <v>41334</v>
      </c>
      <c r="C67" s="325">
        <f t="shared" si="2"/>
        <v>1446.51</v>
      </c>
      <c r="D67" s="167"/>
      <c r="E67" s="350">
        <f aca="true" t="shared" si="3" ref="E67:E76">E66</f>
        <v>1491.39</v>
      </c>
    </row>
    <row r="68" spans="2:5" ht="12.75">
      <c r="B68" s="341">
        <v>41365</v>
      </c>
      <c r="C68" s="325">
        <f t="shared" si="2"/>
        <v>1446.51</v>
      </c>
      <c r="D68" s="167"/>
      <c r="E68" s="350">
        <f t="shared" si="3"/>
        <v>1491.39</v>
      </c>
    </row>
    <row r="69" spans="2:5" ht="12.75">
      <c r="B69" s="341">
        <v>41395</v>
      </c>
      <c r="C69" s="325">
        <f t="shared" si="2"/>
        <v>1446.51</v>
      </c>
      <c r="D69" s="167"/>
      <c r="E69" s="350">
        <f t="shared" si="3"/>
        <v>1491.39</v>
      </c>
    </row>
    <row r="70" spans="2:5" ht="13.5" thickBot="1">
      <c r="B70" s="341">
        <v>41426</v>
      </c>
      <c r="C70" s="326">
        <f t="shared" si="2"/>
        <v>1446.51</v>
      </c>
      <c r="D70" s="167"/>
      <c r="E70" s="350">
        <f t="shared" si="3"/>
        <v>1491.39</v>
      </c>
    </row>
    <row r="71" spans="2:5" ht="12.75">
      <c r="B71" s="341">
        <v>41456</v>
      </c>
      <c r="C71" s="328">
        <v>1586.22</v>
      </c>
      <c r="D71" s="167"/>
      <c r="E71" s="350">
        <f t="shared" si="3"/>
        <v>1491.39</v>
      </c>
    </row>
    <row r="72" spans="2:5" ht="12.75">
      <c r="B72" s="341">
        <v>41487</v>
      </c>
      <c r="C72" s="320">
        <f>C71</f>
        <v>1586.22</v>
      </c>
      <c r="D72" s="167"/>
      <c r="E72" s="350">
        <f t="shared" si="3"/>
        <v>1491.39</v>
      </c>
    </row>
    <row r="73" spans="2:5" ht="12.75">
      <c r="B73" s="341">
        <v>41518</v>
      </c>
      <c r="C73" s="320">
        <f aca="true" t="shared" si="4" ref="C73:C82">C72</f>
        <v>1586.22</v>
      </c>
      <c r="D73" s="167"/>
      <c r="E73" s="350">
        <f t="shared" si="3"/>
        <v>1491.39</v>
      </c>
    </row>
    <row r="74" spans="2:5" ht="12.75">
      <c r="B74" s="341">
        <v>41548</v>
      </c>
      <c r="C74" s="320">
        <f t="shared" si="4"/>
        <v>1586.22</v>
      </c>
      <c r="D74" s="167"/>
      <c r="E74" s="350">
        <f t="shared" si="3"/>
        <v>1491.39</v>
      </c>
    </row>
    <row r="75" spans="2:6" ht="12.75">
      <c r="B75" s="341">
        <v>41579</v>
      </c>
      <c r="C75" s="320">
        <f t="shared" si="4"/>
        <v>1586.22</v>
      </c>
      <c r="D75" s="167"/>
      <c r="E75" s="350">
        <f t="shared" si="3"/>
        <v>1491.39</v>
      </c>
      <c r="F75" s="338" t="s">
        <v>330</v>
      </c>
    </row>
    <row r="76" spans="2:6" ht="13.5" thickBot="1">
      <c r="B76" s="342">
        <v>41609</v>
      </c>
      <c r="C76" s="320">
        <f t="shared" si="4"/>
        <v>1586.22</v>
      </c>
      <c r="D76" s="167"/>
      <c r="E76" s="351">
        <f t="shared" si="3"/>
        <v>1491.39</v>
      </c>
      <c r="F76" s="338" t="s">
        <v>331</v>
      </c>
    </row>
    <row r="77" spans="2:5" ht="12.75">
      <c r="B77" s="341">
        <v>41640</v>
      </c>
      <c r="C77" s="320">
        <f t="shared" si="4"/>
        <v>1586.22</v>
      </c>
      <c r="D77" s="317"/>
      <c r="E77" s="347">
        <v>1541.29</v>
      </c>
    </row>
    <row r="78" spans="2:5" ht="12.75">
      <c r="B78" s="341">
        <v>41671</v>
      </c>
      <c r="C78" s="320">
        <f t="shared" si="4"/>
        <v>1586.22</v>
      </c>
      <c r="D78" s="317"/>
      <c r="E78" s="347">
        <f>E77</f>
        <v>1541.29</v>
      </c>
    </row>
    <row r="79" spans="2:5" ht="12.75">
      <c r="B79" s="341">
        <v>41699</v>
      </c>
      <c r="C79" s="320">
        <f t="shared" si="4"/>
        <v>1586.22</v>
      </c>
      <c r="D79" s="317"/>
      <c r="E79" s="347">
        <f aca="true" t="shared" si="5" ref="E79:E88">E78</f>
        <v>1541.29</v>
      </c>
    </row>
    <row r="80" spans="2:5" ht="12.75">
      <c r="B80" s="341">
        <v>41730</v>
      </c>
      <c r="C80" s="320">
        <f t="shared" si="4"/>
        <v>1586.22</v>
      </c>
      <c r="D80" s="317"/>
      <c r="E80" s="347">
        <f t="shared" si="5"/>
        <v>1541.29</v>
      </c>
    </row>
    <row r="81" spans="2:5" ht="12.75">
      <c r="B81" s="341">
        <v>41760</v>
      </c>
      <c r="C81" s="320">
        <f t="shared" si="4"/>
        <v>1586.22</v>
      </c>
      <c r="D81" s="317"/>
      <c r="E81" s="347">
        <f t="shared" si="5"/>
        <v>1541.29</v>
      </c>
    </row>
    <row r="82" spans="2:5" ht="13.5" thickBot="1">
      <c r="B82" s="341">
        <v>41791</v>
      </c>
      <c r="C82" s="322">
        <f t="shared" si="4"/>
        <v>1586.22</v>
      </c>
      <c r="D82" s="317"/>
      <c r="E82" s="347">
        <f t="shared" si="5"/>
        <v>1541.29</v>
      </c>
    </row>
    <row r="83" spans="2:5" ht="12.75">
      <c r="B83" s="315">
        <v>41821</v>
      </c>
      <c r="C83" s="336">
        <v>1586.06</v>
      </c>
      <c r="D83" s="317"/>
      <c r="E83" s="347">
        <f t="shared" si="5"/>
        <v>1541.29</v>
      </c>
    </row>
    <row r="84" spans="2:5" ht="12.75">
      <c r="B84" s="315">
        <v>41852</v>
      </c>
      <c r="C84" s="335">
        <f>C83</f>
        <v>1586.06</v>
      </c>
      <c r="D84" s="317"/>
      <c r="E84" s="347">
        <f t="shared" si="5"/>
        <v>1541.29</v>
      </c>
    </row>
    <row r="85" spans="2:5" ht="12.75">
      <c r="B85" s="315">
        <v>41883</v>
      </c>
      <c r="C85" s="335">
        <f aca="true" t="shared" si="6" ref="C85:C94">C84</f>
        <v>1586.06</v>
      </c>
      <c r="D85" s="317"/>
      <c r="E85" s="347">
        <f t="shared" si="5"/>
        <v>1541.29</v>
      </c>
    </row>
    <row r="86" spans="2:5" ht="12.75">
      <c r="B86" s="315">
        <v>41913</v>
      </c>
      <c r="C86" s="335">
        <f t="shared" si="6"/>
        <v>1586.06</v>
      </c>
      <c r="D86" s="317"/>
      <c r="E86" s="347">
        <f t="shared" si="5"/>
        <v>1541.29</v>
      </c>
    </row>
    <row r="87" spans="2:5" ht="12.75">
      <c r="B87" s="315">
        <v>41944</v>
      </c>
      <c r="C87" s="335">
        <f t="shared" si="6"/>
        <v>1586.06</v>
      </c>
      <c r="D87" s="317"/>
      <c r="E87" s="347">
        <f t="shared" si="5"/>
        <v>1541.29</v>
      </c>
    </row>
    <row r="88" spans="2:6" ht="13.5" thickBot="1">
      <c r="B88" s="316">
        <v>41974</v>
      </c>
      <c r="C88" s="335">
        <f t="shared" si="6"/>
        <v>1586.06</v>
      </c>
      <c r="D88" s="317"/>
      <c r="E88" s="348">
        <f t="shared" si="5"/>
        <v>1541.29</v>
      </c>
      <c r="F88" s="167"/>
    </row>
    <row r="89" spans="2:5" ht="12.75">
      <c r="B89" s="315">
        <v>42005</v>
      </c>
      <c r="C89" s="335">
        <f t="shared" si="6"/>
        <v>1586.06</v>
      </c>
      <c r="D89" s="317"/>
      <c r="E89" s="317"/>
    </row>
    <row r="90" spans="2:5" ht="12.75">
      <c r="B90" s="315">
        <v>42036</v>
      </c>
      <c r="C90" s="335">
        <f t="shared" si="6"/>
        <v>1586.06</v>
      </c>
      <c r="D90" s="317"/>
      <c r="E90" s="317"/>
    </row>
    <row r="91" spans="2:5" ht="12.75">
      <c r="B91" s="315">
        <v>42064</v>
      </c>
      <c r="C91" s="335">
        <f t="shared" si="6"/>
        <v>1586.06</v>
      </c>
      <c r="D91" s="317"/>
      <c r="E91" s="317"/>
    </row>
    <row r="92" spans="2:5" ht="12.75">
      <c r="B92" s="315">
        <v>42095</v>
      </c>
      <c r="C92" s="335">
        <f t="shared" si="6"/>
        <v>1586.06</v>
      </c>
      <c r="D92" s="317"/>
      <c r="E92" s="317"/>
    </row>
    <row r="93" spans="2:5" ht="12.75">
      <c r="B93" s="315">
        <v>42125</v>
      </c>
      <c r="C93" s="335">
        <f t="shared" si="6"/>
        <v>1586.06</v>
      </c>
      <c r="D93" s="317"/>
      <c r="E93" s="317"/>
    </row>
    <row r="94" spans="2:5" ht="13.5" thickBot="1">
      <c r="B94" s="315">
        <v>42156</v>
      </c>
      <c r="C94" s="337">
        <f t="shared" si="6"/>
        <v>1586.06</v>
      </c>
      <c r="D94" s="317"/>
      <c r="E94" s="317"/>
    </row>
    <row r="95" spans="2:5" ht="12.75">
      <c r="B95" s="315">
        <v>42186</v>
      </c>
      <c r="C95" s="345">
        <v>1566.72</v>
      </c>
      <c r="D95" s="317"/>
      <c r="E95" s="317"/>
    </row>
    <row r="96" spans="2:5" ht="12.75">
      <c r="B96" s="315">
        <v>42217</v>
      </c>
      <c r="C96" s="345">
        <f>C95</f>
        <v>1566.72</v>
      </c>
      <c r="D96" s="317"/>
      <c r="E96" s="317"/>
    </row>
    <row r="97" spans="2:5" ht="12.75">
      <c r="B97" s="315">
        <v>42248</v>
      </c>
      <c r="C97" s="345">
        <f aca="true" t="shared" si="7" ref="C97:C106">C96</f>
        <v>1566.72</v>
      </c>
      <c r="D97" s="317"/>
      <c r="E97" s="317"/>
    </row>
    <row r="98" spans="2:5" ht="12.75">
      <c r="B98" s="315">
        <v>42278</v>
      </c>
      <c r="C98" s="345">
        <f t="shared" si="7"/>
        <v>1566.72</v>
      </c>
      <c r="D98" s="317"/>
      <c r="E98" s="317"/>
    </row>
    <row r="99" spans="2:5" ht="12.75">
      <c r="B99" s="315">
        <v>42309</v>
      </c>
      <c r="C99" s="345">
        <f t="shared" si="7"/>
        <v>1566.72</v>
      </c>
      <c r="D99" s="317"/>
      <c r="E99" s="317"/>
    </row>
    <row r="100" spans="2:5" ht="13.5" thickBot="1">
      <c r="B100" s="316">
        <v>42339</v>
      </c>
      <c r="C100" s="345">
        <f t="shared" si="7"/>
        <v>1566.72</v>
      </c>
      <c r="D100" s="317"/>
      <c r="E100" s="318"/>
    </row>
    <row r="101" spans="2:5" ht="12.75">
      <c r="B101" s="315">
        <v>42370</v>
      </c>
      <c r="C101" s="345">
        <f t="shared" si="7"/>
        <v>1566.72</v>
      </c>
      <c r="D101" s="317"/>
      <c r="E101" s="317"/>
    </row>
    <row r="102" spans="2:5" ht="12.75">
      <c r="B102" s="315">
        <v>42401</v>
      </c>
      <c r="C102" s="345">
        <f t="shared" si="7"/>
        <v>1566.72</v>
      </c>
      <c r="D102" s="317"/>
      <c r="E102" s="317"/>
    </row>
    <row r="103" spans="2:5" ht="12.75">
      <c r="B103" s="315">
        <v>42430</v>
      </c>
      <c r="C103" s="345">
        <f t="shared" si="7"/>
        <v>1566.72</v>
      </c>
      <c r="D103" s="317"/>
      <c r="E103" s="317"/>
    </row>
    <row r="104" spans="2:5" ht="12.75">
      <c r="B104" s="315">
        <v>42461</v>
      </c>
      <c r="C104" s="345">
        <f t="shared" si="7"/>
        <v>1566.72</v>
      </c>
      <c r="D104" s="317"/>
      <c r="E104" s="317"/>
    </row>
    <row r="105" spans="2:5" ht="12.75">
      <c r="B105" s="315">
        <v>42491</v>
      </c>
      <c r="C105" s="345">
        <f t="shared" si="7"/>
        <v>1566.72</v>
      </c>
      <c r="D105" s="317"/>
      <c r="E105" s="317"/>
    </row>
    <row r="106" spans="2:5" ht="13.5" thickBot="1">
      <c r="B106" s="315">
        <v>42522</v>
      </c>
      <c r="C106" s="346">
        <f t="shared" si="7"/>
        <v>1566.72</v>
      </c>
      <c r="D106" s="317"/>
      <c r="E106" s="317"/>
    </row>
    <row r="107" spans="2:5" ht="12.75">
      <c r="B107" s="315">
        <v>42552</v>
      </c>
      <c r="C107" s="317"/>
      <c r="D107" s="317"/>
      <c r="E107" s="317"/>
    </row>
    <row r="108" spans="2:5" ht="12.75">
      <c r="B108" s="315">
        <v>42583</v>
      </c>
      <c r="C108" s="317"/>
      <c r="D108" s="317"/>
      <c r="E108" s="317"/>
    </row>
    <row r="109" spans="2:5" ht="12.75">
      <c r="B109" s="315">
        <v>42614</v>
      </c>
      <c r="C109" s="317"/>
      <c r="D109" s="317"/>
      <c r="E109" s="317"/>
    </row>
    <row r="110" spans="2:5" ht="12.75">
      <c r="B110" s="315">
        <v>42644</v>
      </c>
      <c r="C110" s="317"/>
      <c r="D110" s="317"/>
      <c r="E110" s="317"/>
    </row>
    <row r="111" spans="2:5" ht="12.75">
      <c r="B111" s="315">
        <v>42675</v>
      </c>
      <c r="C111" s="317"/>
      <c r="D111" s="317"/>
      <c r="E111" s="317"/>
    </row>
    <row r="112" spans="2:5" ht="13.5" thickBot="1">
      <c r="B112" s="316">
        <v>42705</v>
      </c>
      <c r="C112" s="317"/>
      <c r="D112" s="317"/>
      <c r="E112" s="318"/>
    </row>
    <row r="113" spans="2:5" ht="12.75">
      <c r="B113" s="315">
        <v>42736</v>
      </c>
      <c r="C113" s="317"/>
      <c r="D113" s="317"/>
      <c r="E113" s="317"/>
    </row>
    <row r="114" spans="2:5" ht="12.75">
      <c r="B114" s="315">
        <v>42767</v>
      </c>
      <c r="C114" s="317"/>
      <c r="D114" s="317"/>
      <c r="E114" s="317"/>
    </row>
    <row r="115" spans="2:5" ht="12.75">
      <c r="B115" s="315">
        <v>42795</v>
      </c>
      <c r="C115" s="317"/>
      <c r="D115" s="317"/>
      <c r="E115" s="317"/>
    </row>
    <row r="116" spans="2:5" ht="12.75">
      <c r="B116" s="315">
        <v>42826</v>
      </c>
      <c r="C116" s="317"/>
      <c r="D116" s="317"/>
      <c r="E116" s="317"/>
    </row>
    <row r="117" spans="2:5" ht="12.75">
      <c r="B117" s="315">
        <v>42856</v>
      </c>
      <c r="C117" s="317"/>
      <c r="D117" s="317"/>
      <c r="E117" s="317"/>
    </row>
    <row r="118" spans="2:5" ht="13.5" thickBot="1">
      <c r="B118" s="315">
        <v>42887</v>
      </c>
      <c r="C118" s="318"/>
      <c r="D118" s="317"/>
      <c r="E118" s="317"/>
    </row>
    <row r="119" spans="2:5" ht="12.75">
      <c r="B119" s="315">
        <v>42917</v>
      </c>
      <c r="C119" s="317"/>
      <c r="D119" s="317"/>
      <c r="E119" s="317"/>
    </row>
    <row r="120" spans="2:5" ht="12.75">
      <c r="B120" s="315">
        <v>42948</v>
      </c>
      <c r="C120" s="317"/>
      <c r="D120" s="317"/>
      <c r="E120" s="317"/>
    </row>
    <row r="121" spans="2:5" ht="12.75">
      <c r="B121" s="315">
        <v>42979</v>
      </c>
      <c r="C121" s="317"/>
      <c r="D121" s="317"/>
      <c r="E121" s="317"/>
    </row>
    <row r="122" spans="2:5" ht="12.75">
      <c r="B122" s="315">
        <v>43009</v>
      </c>
      <c r="C122" s="317"/>
      <c r="D122" s="317"/>
      <c r="E122" s="317"/>
    </row>
    <row r="123" spans="2:5" ht="12.75">
      <c r="B123" s="315">
        <v>43040</v>
      </c>
      <c r="C123" s="317"/>
      <c r="D123" s="317"/>
      <c r="E123" s="317"/>
    </row>
    <row r="124" spans="2:5" ht="13.5" thickBot="1">
      <c r="B124" s="316">
        <v>43070</v>
      </c>
      <c r="C124" s="317"/>
      <c r="D124" s="317"/>
      <c r="E124" s="318"/>
    </row>
  </sheetData>
  <sheetProtection/>
  <printOptions/>
  <pageMargins left="0.75" right="0.75" top="1" bottom="1" header="0.5" footer="0.5"/>
  <pageSetup fitToHeight="0" fitToWidth="1" horizontalDpi="1200" verticalDpi="1200" orientation="portrait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67" t="str">
        <f>+Transactions!B1</f>
        <v>AEP Formula Rate -- FERC Docket ER07-1069</v>
      </c>
      <c r="D1" s="367"/>
      <c r="E1" s="367"/>
      <c r="F1" s="367"/>
      <c r="G1" s="367"/>
      <c r="H1" s="367"/>
      <c r="K1" s="343">
        <v>2015</v>
      </c>
    </row>
    <row r="2" spans="3:8" ht="12.75">
      <c r="C2" s="367" t="s">
        <v>163</v>
      </c>
      <c r="D2" s="367"/>
      <c r="E2" s="367"/>
      <c r="F2" s="367"/>
      <c r="G2" s="367"/>
      <c r="H2" s="367"/>
    </row>
    <row r="3" spans="3:8" ht="12.75">
      <c r="C3" s="367" t="str">
        <f>"for period 01/01/"&amp;F8&amp;" - 12/31/"&amp;F8</f>
        <v>for period 01/01/2014 - 12/31/2014</v>
      </c>
      <c r="D3" s="367"/>
      <c r="E3" s="367"/>
      <c r="F3" s="367"/>
      <c r="G3" s="367"/>
      <c r="H3" s="367"/>
    </row>
    <row r="4" ht="12.75">
      <c r="C4" s="112"/>
    </row>
    <row r="5" spans="3:4" ht="12.75">
      <c r="C5" s="329" t="str">
        <f>"Prepared:  May __, "&amp;K1&amp;""</f>
        <v>Prepared:  May __, 2015</v>
      </c>
      <c r="D5" s="312"/>
    </row>
    <row r="6" ht="12.75">
      <c r="C6" s="112"/>
    </row>
    <row r="7" ht="12.75">
      <c r="C7" s="5"/>
    </row>
    <row r="8" ht="27.75" customHeight="1" thickBot="1">
      <c r="F8" s="198">
        <f>Transactions!N1</f>
        <v>2014</v>
      </c>
    </row>
    <row r="9" spans="5:11" ht="20.25" customHeight="1">
      <c r="E9" s="241" t="s">
        <v>198</v>
      </c>
      <c r="F9" s="188"/>
      <c r="G9" s="197" t="s">
        <v>168</v>
      </c>
      <c r="K9" s="48"/>
    </row>
    <row r="10" spans="2:7" ht="42" customHeight="1" thickBot="1">
      <c r="B10" s="174"/>
      <c r="E10" s="270" t="str">
        <f>"(per "&amp;$F8-1&amp;" Update of May "&amp;$F8-1&amp;")"</f>
        <v>(per 2013 Update of May 2013)</v>
      </c>
      <c r="F10" s="311" t="str">
        <f>"(per "&amp;F8+1&amp;" Update of May "&amp;F8+1&amp;")"</f>
        <v>(per 2015 Update of May 2015)</v>
      </c>
      <c r="G10" s="271" t="str">
        <f>"(per "&amp;$F8&amp;" Update of July "&amp;F8&amp;")"</f>
        <v>(per 2014 Update of July 2014)</v>
      </c>
    </row>
    <row r="11" spans="2:7" ht="21.75" customHeight="1">
      <c r="B11" s="176"/>
      <c r="C11" s="194" t="s">
        <v>166</v>
      </c>
      <c r="D11" s="193" t="s">
        <v>164</v>
      </c>
      <c r="E11" s="294">
        <f>Transactions!K2</f>
        <v>155652292.49945968</v>
      </c>
      <c r="F11" s="182"/>
      <c r="G11" s="295">
        <f>+Transactions!K7</f>
        <v>154431444.9843984</v>
      </c>
    </row>
    <row r="12" spans="2:7" ht="21.75" customHeight="1">
      <c r="B12" s="176"/>
      <c r="C12" s="183"/>
      <c r="D12" s="200" t="s">
        <v>172</v>
      </c>
      <c r="E12" s="189"/>
      <c r="F12" s="181">
        <f>+Transactions!J2</f>
        <v>153641678.5028364</v>
      </c>
      <c r="G12" s="190"/>
    </row>
    <row r="13" spans="2:7" ht="21.75" customHeight="1">
      <c r="B13" s="175"/>
      <c r="C13" s="195" t="s">
        <v>167</v>
      </c>
      <c r="D13" s="192" t="s">
        <v>165</v>
      </c>
      <c r="E13" s="296">
        <f>Transactions!K3</f>
        <v>1586.22</v>
      </c>
      <c r="F13" s="297"/>
      <c r="G13" s="298">
        <f>+Transactions!K8</f>
        <v>1586.06</v>
      </c>
    </row>
    <row r="14" spans="2:7" ht="21.75" customHeight="1" thickBot="1">
      <c r="B14" s="174"/>
      <c r="C14" s="184"/>
      <c r="D14" s="199" t="s">
        <v>171</v>
      </c>
      <c r="E14" s="185"/>
      <c r="F14" s="268">
        <f>+Transactions!J3</f>
        <v>1541.29</v>
      </c>
      <c r="G14" s="186"/>
    </row>
    <row r="15" spans="2:5" ht="12.75">
      <c r="B15" s="176"/>
      <c r="E15" s="146"/>
    </row>
    <row r="16" spans="2:18" ht="12.7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158</v>
      </c>
      <c r="D19" s="179" t="s">
        <v>159</v>
      </c>
      <c r="E19" s="180" t="s">
        <v>160</v>
      </c>
      <c r="F19" s="180" t="s">
        <v>161</v>
      </c>
      <c r="G19" s="179" t="s">
        <v>162</v>
      </c>
      <c r="H19" s="180" t="s">
        <v>170</v>
      </c>
      <c r="M19" s="13"/>
      <c r="N19" s="166"/>
      <c r="O19" s="166"/>
      <c r="P19" s="166"/>
      <c r="Q19" s="166"/>
      <c r="R19" s="166"/>
    </row>
    <row r="20" spans="3:18" ht="53.25" customHeight="1">
      <c r="C20" s="255" t="s">
        <v>215</v>
      </c>
      <c r="D20" s="171" t="str">
        <f>"Actual Charge
("&amp;F8&amp;" True-Up)"</f>
        <v>Actual Charge
(2014 True-Up)</v>
      </c>
      <c r="E20" s="172" t="str">
        <f>"Invoiced for
CY"&amp;F8&amp;" Transmission Service"</f>
        <v>Invoiced for
CY2014 Transmission Service</v>
      </c>
      <c r="F20" s="171" t="s">
        <v>169</v>
      </c>
      <c r="G20" s="173" t="s">
        <v>115</v>
      </c>
      <c r="H20" s="196" t="s">
        <v>194</v>
      </c>
      <c r="M20" s="13"/>
      <c r="N20" s="166"/>
      <c r="O20" s="166"/>
      <c r="P20" s="166"/>
      <c r="Q20" s="166"/>
      <c r="R20" s="166"/>
    </row>
    <row r="21" spans="2:18" ht="12.75">
      <c r="B21" s="236"/>
      <c r="C21" s="167" t="s">
        <v>137</v>
      </c>
      <c r="D21" s="168">
        <f>GETPIVOTDATA("Sum of "&amp;T(Transactions!$J$19),Pivot!$A$3,"Customer",C21)</f>
        <v>12677110.249999998</v>
      </c>
      <c r="E21" s="168">
        <f>GETPIVOTDATA("Sum of "&amp;T(Transactions!$K$19),Pivot!$A$3,"Customer",C21)</f>
        <v>13045989.100000001</v>
      </c>
      <c r="F21" s="168">
        <f>D21-E21</f>
        <v>-368878.85000000335</v>
      </c>
      <c r="G21" s="166">
        <f>+GETPIVOTDATA("Sum of "&amp;T(Transactions!$M$19),Pivot!$A$3,"Customer","AECC")</f>
        <v>-11101.180054910978</v>
      </c>
      <c r="H21" s="169">
        <f>F21+G21</f>
        <v>-379980.03005491436</v>
      </c>
      <c r="J21" s="25"/>
      <c r="K21" s="236"/>
      <c r="M21" s="13"/>
      <c r="N21" s="166"/>
      <c r="O21" s="166"/>
      <c r="P21" s="166"/>
      <c r="Q21" s="166"/>
      <c r="R21" s="166"/>
    </row>
    <row r="22" spans="2:18" ht="12.75">
      <c r="B22" s="236"/>
      <c r="C22" s="187" t="s">
        <v>221</v>
      </c>
      <c r="D22" s="168">
        <f>GETPIVOTDATA("Sum of "&amp;T(Transactions!$J$19),Pivot!$A$3,"Customer",C22)</f>
        <v>2051456.9899999998</v>
      </c>
      <c r="E22" s="168">
        <f>GETPIVOTDATA("Sum of "&amp;T(Transactions!$K$19),Pivot!$A$3,"Customer",C22)</f>
        <v>2111146.18</v>
      </c>
      <c r="F22" s="168">
        <f aca="true" t="shared" si="0" ref="F22:F37">D22-E22</f>
        <v>-59689.19000000041</v>
      </c>
      <c r="G22" s="166">
        <f>+GETPIVOTDATA("Sum of "&amp;T(Transactions!$M$19),Pivot!$A$3,"Customer","Bentonville, AR")</f>
        <v>-1765.5643520924536</v>
      </c>
      <c r="H22" s="169">
        <f aca="true" t="shared" si="1" ref="H22:H37">F22+G22</f>
        <v>-61454.75435209287</v>
      </c>
      <c r="J22" s="25"/>
      <c r="K22" s="236"/>
      <c r="M22" s="13"/>
      <c r="N22" s="166"/>
      <c r="O22" s="166"/>
      <c r="P22" s="166"/>
      <c r="Q22" s="166"/>
      <c r="R22" s="166"/>
    </row>
    <row r="23" spans="2:18" ht="12.75">
      <c r="B23" s="236"/>
      <c r="C23" s="167" t="s">
        <v>142</v>
      </c>
      <c r="D23" s="168">
        <f>GETPIVOTDATA("Sum of "&amp;T(Transactions!$J$19),Pivot!$A$3,"Customer",C23)</f>
        <v>1903493.1500000001</v>
      </c>
      <c r="E23" s="168">
        <f>GETPIVOTDATA("Sum of "&amp;T(Transactions!$K$19),Pivot!$A$3,"Customer",C23)</f>
        <v>1958890.3400000003</v>
      </c>
      <c r="F23" s="168">
        <f t="shared" si="0"/>
        <v>-55397.19000000018</v>
      </c>
      <c r="G23" s="166">
        <f>+GETPIVOTDATA("Sum of "&amp;T(Transactions!$M$19),Pivot!$A$3,"Customer","Coffeyville, KS")</f>
        <v>-1684.0046747638755</v>
      </c>
      <c r="H23" s="169">
        <f t="shared" si="1"/>
        <v>-57081.194674764054</v>
      </c>
      <c r="K23" s="236"/>
      <c r="M23" s="13"/>
      <c r="N23" s="166"/>
      <c r="O23" s="166"/>
      <c r="P23" s="166"/>
      <c r="Q23" s="166"/>
      <c r="R23" s="166"/>
    </row>
    <row r="24" spans="2:18" ht="12.75">
      <c r="B24" s="236"/>
      <c r="C24" s="187" t="s">
        <v>136</v>
      </c>
      <c r="D24" s="168">
        <f>GETPIVOTDATA("Sum of "&amp;T(Transactions!$J$19),Pivot!$A$3,"Customer",C24)</f>
        <v>1502757.7499999998</v>
      </c>
      <c r="E24" s="168">
        <f>GETPIVOTDATA("Sum of "&amp;T(Transactions!$K$19),Pivot!$A$3,"Customer",C24)</f>
        <v>1546489.14</v>
      </c>
      <c r="F24" s="168">
        <f t="shared" si="0"/>
        <v>-43731.39000000013</v>
      </c>
      <c r="G24" s="166">
        <f>+GETPIVOTDATA("Sum of "&amp;T(Transactions!$M$19),Pivot!$A$3,"Customer","ETEC")</f>
        <v>-1338.476744402266</v>
      </c>
      <c r="H24" s="169">
        <f t="shared" si="1"/>
        <v>-45069.866744402396</v>
      </c>
      <c r="K24" s="236"/>
      <c r="M24" s="30"/>
      <c r="N24" s="166"/>
      <c r="O24" s="166"/>
      <c r="P24" s="166"/>
      <c r="Q24" s="166"/>
      <c r="R24" s="166"/>
    </row>
    <row r="25" spans="2:18" ht="12.75">
      <c r="B25" s="236"/>
      <c r="C25" s="167" t="s">
        <v>140</v>
      </c>
      <c r="D25" s="168">
        <f>GETPIVOTDATA("Sum of "&amp;T(Transactions!$J$19),Pivot!$A$3,"Customer",C25)</f>
        <v>158752.87000000002</v>
      </c>
      <c r="E25" s="168">
        <f>GETPIVOTDATA("Sum of "&amp;T(Transactions!$K$19),Pivot!$A$3,"Customer",C25)</f>
        <v>163371.38</v>
      </c>
      <c r="F25" s="168">
        <f t="shared" si="0"/>
        <v>-4618.50999999998</v>
      </c>
      <c r="G25" s="166">
        <f>+GETPIVOTDATA("Sum of "&amp;T(Transactions!$M$19),Pivot!$A$3,"Customer","Greenbelt")</f>
        <v>-135.67740977455938</v>
      </c>
      <c r="H25" s="169">
        <f t="shared" si="1"/>
        <v>-4754.187409774539</v>
      </c>
      <c r="J25" s="13"/>
      <c r="K25" s="236"/>
      <c r="L25" s="235"/>
      <c r="M25" s="235"/>
      <c r="N25" s="235"/>
      <c r="O25" s="235"/>
      <c r="P25" s="166"/>
      <c r="Q25" s="166"/>
      <c r="R25" s="166"/>
    </row>
    <row r="26" spans="2:18" ht="12.75">
      <c r="B26" s="236"/>
      <c r="C26" s="167" t="s">
        <v>224</v>
      </c>
      <c r="D26" s="168">
        <f>GETPIVOTDATA("Sum of "&amp;T(Transactions!$J$19),Pivot!$A$3,"Customer",C26)</f>
        <v>886241.7499999999</v>
      </c>
      <c r="E26" s="168">
        <f>GETPIVOTDATA("Sum of "&amp;T(Transactions!$K$19),Pivot!$A$3,"Customer",C26)</f>
        <v>912029.4599999998</v>
      </c>
      <c r="F26" s="168">
        <f t="shared" si="0"/>
        <v>-25787.709999999963</v>
      </c>
      <c r="G26" s="166">
        <f>+GETPIVOTDATA("Sum of "&amp;T(Transactions!$M$19),Pivot!$A$3,"Customer","Hope, AR")</f>
        <v>-770.3155616513038</v>
      </c>
      <c r="H26" s="169">
        <f t="shared" si="1"/>
        <v>-26558.025561651266</v>
      </c>
      <c r="J26" s="13"/>
      <c r="K26" s="236"/>
      <c r="L26" s="235"/>
      <c r="M26" s="235"/>
      <c r="N26" s="235"/>
      <c r="O26" s="235"/>
      <c r="P26" s="166"/>
      <c r="Q26" s="166"/>
      <c r="R26" s="166"/>
    </row>
    <row r="27" spans="2:18" ht="12.75">
      <c r="B27" s="236"/>
      <c r="C27" s="167" t="s">
        <v>141</v>
      </c>
      <c r="D27" s="168">
        <f>GETPIVOTDATA("Sum of "&amp;T(Transactions!$J$19),Pivot!$A$3,"Customer",C27)</f>
        <v>33908.380000000005</v>
      </c>
      <c r="E27" s="168">
        <f>GETPIVOTDATA("Sum of "&amp;T(Transactions!$K$19),Pivot!$A$3,"Customer",C27)</f>
        <v>34895.24</v>
      </c>
      <c r="F27" s="168">
        <f t="shared" si="0"/>
        <v>-986.8599999999933</v>
      </c>
      <c r="G27" s="166">
        <f>+GETPIVOTDATA("Sum of "&amp;T(Transactions!$M$19),Pivot!$A$3,"Customer","Lighthouse")</f>
        <v>-30.278243042941575</v>
      </c>
      <c r="H27" s="169">
        <f t="shared" si="1"/>
        <v>-1017.1382430429348</v>
      </c>
      <c r="K27" s="236"/>
      <c r="M27" s="13"/>
      <c r="N27" s="166"/>
      <c r="O27" s="166"/>
      <c r="P27" s="166"/>
      <c r="Q27" s="166"/>
      <c r="R27" s="166"/>
    </row>
    <row r="28" spans="2:18" ht="12.75">
      <c r="B28" s="236"/>
      <c r="C28" s="187" t="s">
        <v>223</v>
      </c>
      <c r="D28" s="168">
        <f>GETPIVOTDATA("Sum of "&amp;T(Transactions!$J$19),Pivot!$A$3,"Customer",C28)</f>
        <v>510166.99</v>
      </c>
      <c r="E28" s="168">
        <f>GETPIVOTDATA("Sum of "&amp;T(Transactions!$K$19),Pivot!$A$3,"Customer",C28)</f>
        <v>525009.5399999999</v>
      </c>
      <c r="F28" s="168">
        <f t="shared" si="0"/>
        <v>-14842.54999999993</v>
      </c>
      <c r="G28" s="166">
        <f>+GETPIVOTDATA("Sum of "&amp;T(Transactions!$M$19),Pivot!$A$3,"Customer","Minden, LA")</f>
        <v>-431.42179257361136</v>
      </c>
      <c r="H28" s="169">
        <f t="shared" si="1"/>
        <v>-15273.971792573542</v>
      </c>
      <c r="K28" s="236"/>
      <c r="M28" s="13"/>
      <c r="N28" s="166"/>
      <c r="O28" s="166"/>
      <c r="P28" s="166"/>
      <c r="Q28" s="166"/>
      <c r="R28" s="166"/>
    </row>
    <row r="29" spans="2:11" ht="12.75">
      <c r="B29" s="236"/>
      <c r="C29" s="167" t="s">
        <v>138</v>
      </c>
      <c r="D29" s="168">
        <f>GETPIVOTDATA("Sum of "&amp;T(Transactions!$J$19),Pivot!$A$3,"Customer",C29)</f>
        <v>11619785.309999997</v>
      </c>
      <c r="E29" s="168">
        <f>GETPIVOTDATA("Sum of "&amp;T(Transactions!$K$19),Pivot!$A$3,"Customer",C29)</f>
        <v>11957920.74</v>
      </c>
      <c r="F29" s="168">
        <f t="shared" si="0"/>
        <v>-338135.4300000034</v>
      </c>
      <c r="G29" s="166">
        <f>+GETPIVOTDATA("Sum of "&amp;T(Transactions!$M$19),Pivot!$A$3,"Customer","NTEC")</f>
        <v>-10286.531120380918</v>
      </c>
      <c r="H29" s="169">
        <f t="shared" si="1"/>
        <v>-348421.96112038434</v>
      </c>
      <c r="K29" s="236"/>
    </row>
    <row r="30" spans="2:11" ht="12.75">
      <c r="B30" s="236"/>
      <c r="C30" s="187" t="s">
        <v>144</v>
      </c>
      <c r="D30" s="168">
        <f>GETPIVOTDATA("Sum of "&amp;T(Transactions!$J$19),Pivot!$A$3,"Customer",C30)</f>
        <v>345248.95999999996</v>
      </c>
      <c r="E30" s="168">
        <f>GETPIVOTDATA("Sum of "&amp;T(Transactions!$K$19),Pivot!$A$3,"Customer",C30)</f>
        <v>355295.83999999997</v>
      </c>
      <c r="F30" s="168">
        <f t="shared" si="0"/>
        <v>-10046.880000000005</v>
      </c>
      <c r="G30" s="166">
        <f>+GETPIVOTDATA("Sum of "&amp;T(Transactions!$M$19),Pivot!$A$3,"Customer","OG&amp;E")</f>
        <v>-300.6093141354321</v>
      </c>
      <c r="H30" s="169">
        <f t="shared" si="1"/>
        <v>-10347.489314135437</v>
      </c>
      <c r="K30" s="236"/>
    </row>
    <row r="31" spans="2:11" ht="12.75">
      <c r="B31" s="236"/>
      <c r="C31" s="167" t="s">
        <v>117</v>
      </c>
      <c r="D31" s="168">
        <f>GETPIVOTDATA("Sum of "&amp;T(Transactions!$J$19),Pivot!$A$3,"Customer",C31)</f>
        <v>2080741.5</v>
      </c>
      <c r="E31" s="168">
        <f>GETPIVOTDATA("Sum of "&amp;T(Transactions!$K$19),Pivot!$A$3,"Customer",C31)</f>
        <v>2141279.24</v>
      </c>
      <c r="F31" s="168">
        <f t="shared" si="0"/>
        <v>-60537.74000000022</v>
      </c>
      <c r="G31" s="166">
        <f>+GETPIVOTDATA("Sum of "&amp;T(Transactions!$M$19),Pivot!$A$3,"Customer","OMPA")</f>
        <v>-1774.7853738690471</v>
      </c>
      <c r="H31" s="169">
        <f t="shared" si="1"/>
        <v>-62312.52537386927</v>
      </c>
      <c r="K31" s="236"/>
    </row>
    <row r="32" spans="2:11" ht="12.75">
      <c r="B32" s="236"/>
      <c r="C32" s="167" t="s">
        <v>222</v>
      </c>
      <c r="D32" s="168">
        <f>GETPIVOTDATA("Sum of "&amp;T(Transactions!$J$19),Pivot!$A$3,"Customer",C32)</f>
        <v>217321.88999999998</v>
      </c>
      <c r="E32" s="168">
        <f>GETPIVOTDATA("Sum of "&amp;T(Transactions!$K$19),Pivot!$A$3,"Customer",C32)</f>
        <v>223645.82</v>
      </c>
      <c r="F32" s="168">
        <f t="shared" si="0"/>
        <v>-6323.930000000022</v>
      </c>
      <c r="G32" s="166">
        <f>+GETPIVOTDATA("Sum of "&amp;T(Transactions!$M$19),Pivot!$A$3,"Customer","Prescott, AR")</f>
        <v>-190.1829512120462</v>
      </c>
      <c r="H32" s="169">
        <f t="shared" si="1"/>
        <v>-6514.112951212068</v>
      </c>
      <c r="K32" s="236"/>
    </row>
    <row r="33" spans="2:11" ht="12.75">
      <c r="B33" s="236"/>
      <c r="C33" s="167" t="s">
        <v>139</v>
      </c>
      <c r="D33" s="168">
        <f>GETPIVOTDATA("Sum of "&amp;T(Transactions!$J$19),Pivot!$A$3,"Customer",C33)</f>
        <v>1737033.8299999998</v>
      </c>
      <c r="E33" s="168">
        <f>GETPIVOTDATA("Sum of "&amp;T(Transactions!$K$19),Pivot!$A$3,"Customer",C33)</f>
        <v>1787584.9800000004</v>
      </c>
      <c r="F33" s="168">
        <f t="shared" si="0"/>
        <v>-50551.150000000605</v>
      </c>
      <c r="G33" s="166">
        <f>+GETPIVOTDATA("Sum of "&amp;T(Transactions!$M$19),Pivot!$A$3,"Customer","TEXLA")</f>
        <v>-1560.1660994729052</v>
      </c>
      <c r="H33" s="169">
        <f t="shared" si="1"/>
        <v>-52111.31609947351</v>
      </c>
      <c r="K33" s="236"/>
    </row>
    <row r="34" spans="2:11" ht="12.75">
      <c r="B34" s="236"/>
      <c r="C34" s="170" t="s">
        <v>118</v>
      </c>
      <c r="D34" s="168">
        <f>GETPIVOTDATA("Sum of "&amp;T(Transactions!$J$19),Pivot!$A$3,"Customer",C34)</f>
        <v>571818.5900000001</v>
      </c>
      <c r="E34" s="168">
        <f>GETPIVOTDATA("Sum of "&amp;T(Transactions!$K$19),Pivot!$A$3,"Customer",C34)</f>
        <v>588458.6599999999</v>
      </c>
      <c r="F34" s="168">
        <f t="shared" si="0"/>
        <v>-16640.069999999832</v>
      </c>
      <c r="G34" s="166">
        <f>+GETPIVOTDATA("Sum of "&amp;T(Transactions!$M$19),Pivot!$A$3,"Customer","WFEC")</f>
        <v>-505.290050764892</v>
      </c>
      <c r="H34" s="169">
        <f t="shared" si="1"/>
        <v>-17145.360050764724</v>
      </c>
      <c r="K34" s="236"/>
    </row>
    <row r="35" spans="3:8" ht="24">
      <c r="C35" s="299" t="s">
        <v>192</v>
      </c>
      <c r="D35" s="300">
        <f>SUM(D21:D34)</f>
        <v>36295838.20999999</v>
      </c>
      <c r="E35" s="300">
        <f>SUM(E21:E34)</f>
        <v>37352005.66</v>
      </c>
      <c r="F35" s="300">
        <f>SUM(F21:F34)</f>
        <v>-1056167.450000008</v>
      </c>
      <c r="G35" s="301">
        <f>SUM(G21:G34)</f>
        <v>-31874.483743047233</v>
      </c>
      <c r="H35" s="302">
        <f>SUM(H21:H34)</f>
        <v>-1088041.9337430552</v>
      </c>
    </row>
    <row r="36" spans="3:9" ht="12.75">
      <c r="C36" s="187" t="s">
        <v>146</v>
      </c>
      <c r="D36" s="168">
        <f>GETPIVOTDATA("Sum of "&amp;T(Transactions!$J$19),Pivot!$A$3,"Customer",C36)</f>
        <v>59301132.75</v>
      </c>
      <c r="E36" s="168">
        <f>GETPIVOTDATA("Sum of "&amp;T(Transactions!$K$19),Pivot!$A$3,"Customer",C36)</f>
        <v>61026540.25999999</v>
      </c>
      <c r="F36" s="168">
        <f t="shared" si="0"/>
        <v>-1725407.5099999905</v>
      </c>
      <c r="G36" s="166">
        <f>+GETPIVOTDATA("Sum of "&amp;T(Transactions!$M$19),Pivot!$A$3,"Customer","PSO")</f>
        <v>-50946.64717977295</v>
      </c>
      <c r="H36" s="169">
        <f t="shared" si="1"/>
        <v>-1776354.1571797633</v>
      </c>
      <c r="I36" s="236"/>
    </row>
    <row r="37" spans="3:8" ht="12.75">
      <c r="C37" s="170" t="s">
        <v>147</v>
      </c>
      <c r="D37" s="168">
        <f>GETPIVOTDATA("Sum of "&amp;T(Transactions!$J$19),Pivot!$A$3,"Customer",C37)</f>
        <v>58041898.819999985</v>
      </c>
      <c r="E37" s="168">
        <f>GETPIVOTDATA("Sum of "&amp;T(Transactions!$K$19),Pivot!$A$3,"Customer",C37)</f>
        <v>59730813.56</v>
      </c>
      <c r="F37" s="168">
        <f t="shared" si="0"/>
        <v>-1688914.740000017</v>
      </c>
      <c r="G37" s="166">
        <f>+GETPIVOTDATA("Sum of "&amp;T(Transactions!$M$19),Pivot!$A$3,"Customer","SWEPCO")</f>
        <v>-50624.15608297886</v>
      </c>
      <c r="H37" s="169">
        <f t="shared" si="1"/>
        <v>-1739538.896082996</v>
      </c>
    </row>
    <row r="38" spans="3:8" ht="24">
      <c r="C38" s="257" t="s">
        <v>218</v>
      </c>
      <c r="D38" s="258">
        <f>SUM(D36:D37)</f>
        <v>117343031.57</v>
      </c>
      <c r="E38" s="258">
        <f>SUM(E36:E37)</f>
        <v>120757353.82</v>
      </c>
      <c r="F38" s="258">
        <f>SUM(F36:F37)</f>
        <v>-3414322.2500000075</v>
      </c>
      <c r="G38" s="259">
        <f>SUM(G36:G37)</f>
        <v>-101570.80326275181</v>
      </c>
      <c r="H38" s="260">
        <f>SUM(H36:H37)</f>
        <v>-3515893.053262759</v>
      </c>
    </row>
    <row r="39" spans="3:8" ht="23.25" customHeight="1" thickBot="1">
      <c r="C39" s="234" t="s">
        <v>193</v>
      </c>
      <c r="D39" s="231">
        <f>SUM(D35,D38)</f>
        <v>153638869.77999997</v>
      </c>
      <c r="E39" s="232">
        <f>SUM(E35,E38)</f>
        <v>158109359.48</v>
      </c>
      <c r="F39" s="231">
        <f>SUM(F35,F38)</f>
        <v>-4470489.700000016</v>
      </c>
      <c r="G39" s="232">
        <f>SUM(G35,G38)</f>
        <v>-133445.28700579904</v>
      </c>
      <c r="H39" s="233">
        <f>SUM(H35,H38)</f>
        <v>-4603934.987005814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64"/>
      <c r="B3" s="119"/>
      <c r="C3" s="121" t="s">
        <v>220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151</v>
      </c>
      <c r="C4" s="123">
        <v>41640</v>
      </c>
      <c r="D4" s="124">
        <v>41671</v>
      </c>
      <c r="E4" s="124">
        <v>41699</v>
      </c>
      <c r="F4" s="124">
        <v>41730</v>
      </c>
      <c r="G4" s="124">
        <v>41760</v>
      </c>
      <c r="H4" s="124">
        <v>41791</v>
      </c>
      <c r="I4" s="124">
        <v>41821</v>
      </c>
      <c r="J4" s="124">
        <v>41852</v>
      </c>
      <c r="K4" s="124">
        <v>41883</v>
      </c>
      <c r="L4" s="124">
        <v>41913</v>
      </c>
      <c r="M4" s="124">
        <v>41944</v>
      </c>
      <c r="N4" s="124">
        <v>41974</v>
      </c>
      <c r="O4" s="125" t="s">
        <v>143</v>
      </c>
    </row>
    <row r="5" spans="1:15" ht="12.75">
      <c r="A5" s="164" t="s">
        <v>137</v>
      </c>
      <c r="B5" s="164" t="s">
        <v>259</v>
      </c>
      <c r="C5" s="201">
        <v>1240738.45</v>
      </c>
      <c r="D5" s="202">
        <v>1249986.19</v>
      </c>
      <c r="E5" s="202">
        <v>1146719.76</v>
      </c>
      <c r="F5" s="202">
        <v>628846.32</v>
      </c>
      <c r="G5" s="202">
        <v>892406.91</v>
      </c>
      <c r="H5" s="202">
        <v>1060407.52</v>
      </c>
      <c r="I5" s="202">
        <v>1115893.96</v>
      </c>
      <c r="J5" s="202">
        <v>1248444.9</v>
      </c>
      <c r="K5" s="202">
        <v>1160591.3699999999</v>
      </c>
      <c r="L5" s="202">
        <v>898572.07</v>
      </c>
      <c r="M5" s="202">
        <v>1102022.3499999999</v>
      </c>
      <c r="N5" s="202">
        <v>932480.45</v>
      </c>
      <c r="O5" s="203">
        <v>12677110.249999998</v>
      </c>
    </row>
    <row r="6" spans="1:15" ht="12.75">
      <c r="A6" s="163"/>
      <c r="B6" s="122" t="s">
        <v>152</v>
      </c>
      <c r="C6" s="352">
        <v>-36168.65000000014</v>
      </c>
      <c r="D6" s="353">
        <v>-36438.22999999998</v>
      </c>
      <c r="E6" s="353">
        <v>-33427.919999999925</v>
      </c>
      <c r="F6" s="353">
        <v>-18331.44000000006</v>
      </c>
      <c r="G6" s="353">
        <v>-26014.469999999972</v>
      </c>
      <c r="H6" s="353">
        <v>-30911.840000000084</v>
      </c>
      <c r="I6" s="353">
        <v>-32413.47999999998</v>
      </c>
      <c r="J6" s="353">
        <v>-36263.69999999995</v>
      </c>
      <c r="K6" s="353">
        <v>-33711.810000000056</v>
      </c>
      <c r="L6" s="353">
        <v>-26100.910000000033</v>
      </c>
      <c r="M6" s="353">
        <v>-32010.550000000047</v>
      </c>
      <c r="N6" s="353">
        <v>-27085.849999999977</v>
      </c>
      <c r="O6" s="354">
        <v>-368878.8500000002</v>
      </c>
    </row>
    <row r="7" spans="1:15" ht="12.75">
      <c r="A7" s="163"/>
      <c r="B7" s="122" t="s">
        <v>153</v>
      </c>
      <c r="C7" s="352">
        <v>-1626.727068457476</v>
      </c>
      <c r="D7" s="353">
        <v>-1544.256753492352</v>
      </c>
      <c r="E7" s="353">
        <v>-1318.000384303293</v>
      </c>
      <c r="F7" s="353">
        <v>-673.8818630974561</v>
      </c>
      <c r="G7" s="353">
        <v>-884.5408149646535</v>
      </c>
      <c r="H7" s="353">
        <v>-969.0070389338808</v>
      </c>
      <c r="I7" s="353">
        <v>-918.5032784159214</v>
      </c>
      <c r="J7" s="353">
        <v>-928.3646332659018</v>
      </c>
      <c r="K7" s="353">
        <v>-768.1758503471758</v>
      </c>
      <c r="L7" s="353">
        <v>-521.5382354061848</v>
      </c>
      <c r="M7" s="353">
        <v>-558.5238508057549</v>
      </c>
      <c r="N7" s="353">
        <v>-389.6602834209276</v>
      </c>
      <c r="O7" s="354">
        <v>-11101.180054910978</v>
      </c>
    </row>
    <row r="8" spans="1:15" ht="12.75">
      <c r="A8" s="163"/>
      <c r="B8" s="122" t="s">
        <v>154</v>
      </c>
      <c r="C8" s="352">
        <v>-37795.377068457616</v>
      </c>
      <c r="D8" s="353">
        <v>-37982.48675349233</v>
      </c>
      <c r="E8" s="353">
        <v>-34745.920384303216</v>
      </c>
      <c r="F8" s="353">
        <v>-19005.321863097517</v>
      </c>
      <c r="G8" s="353">
        <v>-26899.010814964626</v>
      </c>
      <c r="H8" s="353">
        <v>-31880.847038933964</v>
      </c>
      <c r="I8" s="353">
        <v>-33331.9832784159</v>
      </c>
      <c r="J8" s="353">
        <v>-37192.06463326586</v>
      </c>
      <c r="K8" s="353">
        <v>-34479.985850347235</v>
      </c>
      <c r="L8" s="353">
        <v>-26622.448235406217</v>
      </c>
      <c r="M8" s="353">
        <v>-32569.073850805802</v>
      </c>
      <c r="N8" s="353">
        <v>-27475.510283420903</v>
      </c>
      <c r="O8" s="354">
        <v>-379980.0300549112</v>
      </c>
    </row>
    <row r="9" spans="1:15" ht="12.75">
      <c r="A9" s="163"/>
      <c r="B9" s="122" t="s">
        <v>214</v>
      </c>
      <c r="C9" s="252">
        <v>1276907.1</v>
      </c>
      <c r="D9" s="253">
        <v>1286424.42</v>
      </c>
      <c r="E9" s="253">
        <v>1180147.68</v>
      </c>
      <c r="F9" s="253">
        <v>647177.76</v>
      </c>
      <c r="G9" s="253">
        <v>918421.38</v>
      </c>
      <c r="H9" s="253">
        <v>1091319.36</v>
      </c>
      <c r="I9" s="253">
        <v>1148307.44</v>
      </c>
      <c r="J9" s="253">
        <v>1284708.5999999999</v>
      </c>
      <c r="K9" s="253">
        <v>1194303.18</v>
      </c>
      <c r="L9" s="253">
        <v>924672.98</v>
      </c>
      <c r="M9" s="253">
        <v>1134032.9</v>
      </c>
      <c r="N9" s="253">
        <v>959566.2999999999</v>
      </c>
      <c r="O9" s="254">
        <v>13045989.100000001</v>
      </c>
    </row>
    <row r="10" spans="1:15" ht="12.75">
      <c r="A10" s="164" t="s">
        <v>142</v>
      </c>
      <c r="B10" s="164" t="s">
        <v>259</v>
      </c>
      <c r="C10" s="201">
        <v>172624.47999999998</v>
      </c>
      <c r="D10" s="202">
        <v>175707.06</v>
      </c>
      <c r="E10" s="202">
        <v>169541.9</v>
      </c>
      <c r="F10" s="202">
        <v>166459.32</v>
      </c>
      <c r="G10" s="202">
        <v>178789.63999999998</v>
      </c>
      <c r="H10" s="202">
        <v>160294.16</v>
      </c>
      <c r="I10" s="202">
        <v>157211.58</v>
      </c>
      <c r="J10" s="202">
        <v>98642.56</v>
      </c>
      <c r="K10" s="202">
        <v>184954.8</v>
      </c>
      <c r="L10" s="202">
        <v>126385.78</v>
      </c>
      <c r="M10" s="202">
        <v>161835.44999999998</v>
      </c>
      <c r="N10" s="202">
        <v>151046.41999999998</v>
      </c>
      <c r="O10" s="203">
        <v>1903493.1500000001</v>
      </c>
    </row>
    <row r="11" spans="1:15" ht="12.75">
      <c r="A11" s="163"/>
      <c r="B11" s="122" t="s">
        <v>152</v>
      </c>
      <c r="C11" s="352">
        <v>-5032.160000000033</v>
      </c>
      <c r="D11" s="353">
        <v>-5122.020000000019</v>
      </c>
      <c r="E11" s="353">
        <v>-4942.3000000000175</v>
      </c>
      <c r="F11" s="353">
        <v>-4852.440000000002</v>
      </c>
      <c r="G11" s="353">
        <v>-5211.880000000005</v>
      </c>
      <c r="H11" s="353">
        <v>-4672.720000000001</v>
      </c>
      <c r="I11" s="353">
        <v>-4566.540000000008</v>
      </c>
      <c r="J11" s="353">
        <v>-2865.279999999999</v>
      </c>
      <c r="K11" s="353">
        <v>-5372.399999999994</v>
      </c>
      <c r="L11" s="353">
        <v>-3671.1399999999994</v>
      </c>
      <c r="M11" s="353">
        <v>-4700.850000000006</v>
      </c>
      <c r="N11" s="353">
        <v>-4387.460000000021</v>
      </c>
      <c r="O11" s="354">
        <v>-55397.190000000104</v>
      </c>
    </row>
    <row r="12" spans="1:15" ht="12.75">
      <c r="A12" s="163"/>
      <c r="B12" s="122" t="s">
        <v>153</v>
      </c>
      <c r="C12" s="352">
        <v>-226.32724430712767</v>
      </c>
      <c r="D12" s="353">
        <v>-217.07184944282224</v>
      </c>
      <c r="E12" s="353">
        <v>-194.86564821688583</v>
      </c>
      <c r="F12" s="353">
        <v>-178.3804931728555</v>
      </c>
      <c r="G12" s="353">
        <v>-177.21370386165805</v>
      </c>
      <c r="H12" s="353">
        <v>-146.4778082109351</v>
      </c>
      <c r="I12" s="353">
        <v>-129.402395577934</v>
      </c>
      <c r="J12" s="353">
        <v>-73.35226731977502</v>
      </c>
      <c r="K12" s="353">
        <v>-122.41846220672092</v>
      </c>
      <c r="L12" s="353">
        <v>-73.35529211544954</v>
      </c>
      <c r="M12" s="353">
        <v>-82.0209850833626</v>
      </c>
      <c r="N12" s="353">
        <v>-63.11852524834896</v>
      </c>
      <c r="O12" s="354">
        <v>-1684.0046747638755</v>
      </c>
    </row>
    <row r="13" spans="1:15" ht="12.75">
      <c r="A13" s="163"/>
      <c r="B13" s="122" t="s">
        <v>154</v>
      </c>
      <c r="C13" s="352">
        <v>-5258.48724430716</v>
      </c>
      <c r="D13" s="353">
        <v>-5339.091849442841</v>
      </c>
      <c r="E13" s="353">
        <v>-5137.165648216904</v>
      </c>
      <c r="F13" s="353">
        <v>-5030.820493172858</v>
      </c>
      <c r="G13" s="353">
        <v>-5389.093703861663</v>
      </c>
      <c r="H13" s="353">
        <v>-4819.197808210936</v>
      </c>
      <c r="I13" s="353">
        <v>-4695.942395577942</v>
      </c>
      <c r="J13" s="353">
        <v>-2938.6322673197737</v>
      </c>
      <c r="K13" s="353">
        <v>-5494.818462206715</v>
      </c>
      <c r="L13" s="353">
        <v>-3744.495292115449</v>
      </c>
      <c r="M13" s="353">
        <v>-4782.870985083368</v>
      </c>
      <c r="N13" s="353">
        <v>-4450.57852524837</v>
      </c>
      <c r="O13" s="354">
        <v>-57081.194674763974</v>
      </c>
    </row>
    <row r="14" spans="1:15" ht="12.75">
      <c r="A14" s="163"/>
      <c r="B14" s="122" t="s">
        <v>214</v>
      </c>
      <c r="C14" s="252">
        <v>177656.64</v>
      </c>
      <c r="D14" s="253">
        <v>180829.08000000002</v>
      </c>
      <c r="E14" s="253">
        <v>174484.2</v>
      </c>
      <c r="F14" s="253">
        <v>171311.76</v>
      </c>
      <c r="G14" s="253">
        <v>184001.52</v>
      </c>
      <c r="H14" s="253">
        <v>164966.88</v>
      </c>
      <c r="I14" s="253">
        <v>161778.12</v>
      </c>
      <c r="J14" s="253">
        <v>101507.84</v>
      </c>
      <c r="K14" s="253">
        <v>190327.19999999998</v>
      </c>
      <c r="L14" s="253">
        <v>130056.92</v>
      </c>
      <c r="M14" s="253">
        <v>166536.3</v>
      </c>
      <c r="N14" s="253">
        <v>155433.88</v>
      </c>
      <c r="O14" s="254">
        <v>1958890.3400000003</v>
      </c>
    </row>
    <row r="15" spans="1:15" ht="12.75">
      <c r="A15" s="164" t="s">
        <v>136</v>
      </c>
      <c r="B15" s="164" t="s">
        <v>259</v>
      </c>
      <c r="C15" s="201">
        <v>175707.06</v>
      </c>
      <c r="D15" s="202">
        <v>158752.87</v>
      </c>
      <c r="E15" s="202">
        <v>168000.61</v>
      </c>
      <c r="F15" s="202">
        <v>70899.34</v>
      </c>
      <c r="G15" s="202">
        <v>89394.81999999999</v>
      </c>
      <c r="H15" s="202">
        <v>114055.45999999999</v>
      </c>
      <c r="I15" s="202">
        <v>120220.62</v>
      </c>
      <c r="J15" s="202">
        <v>121761.91</v>
      </c>
      <c r="K15" s="202">
        <v>120220.62</v>
      </c>
      <c r="L15" s="202">
        <v>101725.14</v>
      </c>
      <c r="M15" s="202">
        <v>140257.38999999998</v>
      </c>
      <c r="N15" s="202">
        <v>121761.91</v>
      </c>
      <c r="O15" s="203">
        <v>1502757.7499999998</v>
      </c>
    </row>
    <row r="16" spans="1:15" ht="12.75">
      <c r="A16" s="163"/>
      <c r="B16" s="122" t="s">
        <v>152</v>
      </c>
      <c r="C16" s="352">
        <v>-5122.020000000019</v>
      </c>
      <c r="D16" s="353">
        <v>-4627.790000000008</v>
      </c>
      <c r="E16" s="353">
        <v>-4897.370000000024</v>
      </c>
      <c r="F16" s="353">
        <v>-2066.779999999999</v>
      </c>
      <c r="G16" s="353">
        <v>-2605.9400000000023</v>
      </c>
      <c r="H16" s="353">
        <v>-3324.820000000007</v>
      </c>
      <c r="I16" s="353">
        <v>-3492.0599999999977</v>
      </c>
      <c r="J16" s="353">
        <v>-3536.829999999987</v>
      </c>
      <c r="K16" s="353">
        <v>-3492.0599999999977</v>
      </c>
      <c r="L16" s="353">
        <v>-2954.8199999999924</v>
      </c>
      <c r="M16" s="353">
        <v>-4074.070000000007</v>
      </c>
      <c r="N16" s="353">
        <v>-3536.829999999987</v>
      </c>
      <c r="O16" s="354">
        <v>-43731.39000000003</v>
      </c>
    </row>
    <row r="17" spans="1:15" ht="12.75">
      <c r="A17" s="163"/>
      <c r="B17" s="122" t="s">
        <v>153</v>
      </c>
      <c r="C17" s="352">
        <v>-230.3688022411829</v>
      </c>
      <c r="D17" s="353">
        <v>-196.12632011061976</v>
      </c>
      <c r="E17" s="353">
        <v>-193.09414232400533</v>
      </c>
      <c r="F17" s="353">
        <v>-75.97687672177172</v>
      </c>
      <c r="G17" s="353">
        <v>-88.60685193082902</v>
      </c>
      <c r="H17" s="353">
        <v>-104.2245943039348</v>
      </c>
      <c r="I17" s="353">
        <v>-98.95477308900809</v>
      </c>
      <c r="J17" s="353">
        <v>-90.54420497284701</v>
      </c>
      <c r="K17" s="353">
        <v>-79.57200043436863</v>
      </c>
      <c r="L17" s="353">
        <v>-59.0420643856056</v>
      </c>
      <c r="M17" s="353">
        <v>-71.08485373891429</v>
      </c>
      <c r="N17" s="353">
        <v>-50.88126014917884</v>
      </c>
      <c r="O17" s="354">
        <v>-1338.476744402266</v>
      </c>
    </row>
    <row r="18" spans="1:15" ht="12.75">
      <c r="A18" s="163"/>
      <c r="B18" s="122" t="s">
        <v>154</v>
      </c>
      <c r="C18" s="352">
        <v>-5352.388802241201</v>
      </c>
      <c r="D18" s="353">
        <v>-4823.916320110628</v>
      </c>
      <c r="E18" s="353">
        <v>-5090.46414232403</v>
      </c>
      <c r="F18" s="353">
        <v>-2142.7568767217704</v>
      </c>
      <c r="G18" s="353">
        <v>-2694.5468519308315</v>
      </c>
      <c r="H18" s="353">
        <v>-3429.0445943039417</v>
      </c>
      <c r="I18" s="353">
        <v>-3591.0147730890058</v>
      </c>
      <c r="J18" s="353">
        <v>-3627.3742049728344</v>
      </c>
      <c r="K18" s="353">
        <v>-3571.632000434366</v>
      </c>
      <c r="L18" s="353">
        <v>-3013.862064385598</v>
      </c>
      <c r="M18" s="353">
        <v>-4145.154853738922</v>
      </c>
      <c r="N18" s="353">
        <v>-3587.7112601491663</v>
      </c>
      <c r="O18" s="354">
        <v>-45069.8667444023</v>
      </c>
    </row>
    <row r="19" spans="1:15" ht="12.75">
      <c r="A19" s="163"/>
      <c r="B19" s="122" t="s">
        <v>214</v>
      </c>
      <c r="C19" s="252">
        <v>180829.08000000002</v>
      </c>
      <c r="D19" s="253">
        <v>163380.66</v>
      </c>
      <c r="E19" s="253">
        <v>172897.98</v>
      </c>
      <c r="F19" s="253">
        <v>72966.12</v>
      </c>
      <c r="G19" s="253">
        <v>92000.76</v>
      </c>
      <c r="H19" s="253">
        <v>117380.28</v>
      </c>
      <c r="I19" s="253">
        <v>123712.68</v>
      </c>
      <c r="J19" s="253">
        <v>125298.73999999999</v>
      </c>
      <c r="K19" s="253">
        <v>123712.68</v>
      </c>
      <c r="L19" s="253">
        <v>104679.95999999999</v>
      </c>
      <c r="M19" s="253">
        <v>144331.46</v>
      </c>
      <c r="N19" s="253">
        <v>125298.73999999999</v>
      </c>
      <c r="O19" s="254">
        <v>1546489.14</v>
      </c>
    </row>
    <row r="20" spans="1:15" ht="12.75">
      <c r="A20" s="164" t="s">
        <v>140</v>
      </c>
      <c r="B20" s="164" t="s">
        <v>259</v>
      </c>
      <c r="C20" s="201">
        <v>10789.029999999999</v>
      </c>
      <c r="D20" s="202">
        <v>13871.61</v>
      </c>
      <c r="E20" s="202">
        <v>10789.029999999999</v>
      </c>
      <c r="F20" s="202">
        <v>9247.74</v>
      </c>
      <c r="G20" s="202">
        <v>15412.9</v>
      </c>
      <c r="H20" s="202">
        <v>9247.74</v>
      </c>
      <c r="I20" s="202">
        <v>16954.19</v>
      </c>
      <c r="J20" s="202">
        <v>21578.059999999998</v>
      </c>
      <c r="K20" s="202">
        <v>20036.77</v>
      </c>
      <c r="L20" s="202">
        <v>7706.45</v>
      </c>
      <c r="M20" s="202">
        <v>10789.029999999999</v>
      </c>
      <c r="N20" s="202">
        <v>12330.32</v>
      </c>
      <c r="O20" s="203">
        <v>158752.87000000002</v>
      </c>
    </row>
    <row r="21" spans="1:15" ht="12.75">
      <c r="A21" s="163"/>
      <c r="B21" s="122" t="s">
        <v>152</v>
      </c>
      <c r="C21" s="352">
        <v>-314.51000000000204</v>
      </c>
      <c r="D21" s="353">
        <v>-404.369999999999</v>
      </c>
      <c r="E21" s="353">
        <v>-314.51000000000204</v>
      </c>
      <c r="F21" s="353">
        <v>-269.5799999999999</v>
      </c>
      <c r="G21" s="353">
        <v>-449.3000000000011</v>
      </c>
      <c r="H21" s="353">
        <v>-269.5799999999999</v>
      </c>
      <c r="I21" s="353">
        <v>-492.47000000000116</v>
      </c>
      <c r="J21" s="353">
        <v>-626.7800000000025</v>
      </c>
      <c r="K21" s="353">
        <v>-582.0099999999984</v>
      </c>
      <c r="L21" s="353">
        <v>-223.84999999999945</v>
      </c>
      <c r="M21" s="353">
        <v>-313.39000000000124</v>
      </c>
      <c r="N21" s="353">
        <v>-358.15999999999985</v>
      </c>
      <c r="O21" s="354">
        <v>-4618.510000000007</v>
      </c>
    </row>
    <row r="22" spans="1:15" ht="12.75">
      <c r="A22" s="163"/>
      <c r="B22" s="122" t="s">
        <v>153</v>
      </c>
      <c r="C22" s="352">
        <v>-14.14545276919548</v>
      </c>
      <c r="D22" s="353">
        <v>-17.137251271801652</v>
      </c>
      <c r="E22" s="353">
        <v>-12.4005412501655</v>
      </c>
      <c r="F22" s="353">
        <v>-9.910027398491964</v>
      </c>
      <c r="G22" s="353">
        <v>-15.277043436349851</v>
      </c>
      <c r="H22" s="353">
        <v>-8.450642781400099</v>
      </c>
      <c r="I22" s="353">
        <v>-13.955160307424261</v>
      </c>
      <c r="J22" s="353">
        <v>-16.045808476200857</v>
      </c>
      <c r="K22" s="353">
        <v>-13.262000072394743</v>
      </c>
      <c r="L22" s="353">
        <v>-4.472883665576182</v>
      </c>
      <c r="M22" s="353">
        <v>-5.468065672224188</v>
      </c>
      <c r="N22" s="353">
        <v>-5.152532673334582</v>
      </c>
      <c r="O22" s="354">
        <v>-135.67740977455938</v>
      </c>
    </row>
    <row r="23" spans="1:15" ht="12.75">
      <c r="A23" s="163"/>
      <c r="B23" s="122" t="s">
        <v>154</v>
      </c>
      <c r="C23" s="352">
        <v>-328.6554527691975</v>
      </c>
      <c r="D23" s="353">
        <v>-421.5072512718006</v>
      </c>
      <c r="E23" s="353">
        <v>-326.9105412501675</v>
      </c>
      <c r="F23" s="353">
        <v>-279.4900273984919</v>
      </c>
      <c r="G23" s="353">
        <v>-464.57704343635095</v>
      </c>
      <c r="H23" s="353">
        <v>-278.03064278140005</v>
      </c>
      <c r="I23" s="353">
        <v>-506.4251603074254</v>
      </c>
      <c r="J23" s="353">
        <v>-642.8258084762033</v>
      </c>
      <c r="K23" s="353">
        <v>-595.2720000723931</v>
      </c>
      <c r="L23" s="353">
        <v>-228.32288366557563</v>
      </c>
      <c r="M23" s="353">
        <v>-318.85806567222545</v>
      </c>
      <c r="N23" s="353">
        <v>-363.31253267333443</v>
      </c>
      <c r="O23" s="354">
        <v>-4754.187409774566</v>
      </c>
    </row>
    <row r="24" spans="1:15" ht="12.75">
      <c r="A24" s="163"/>
      <c r="B24" s="122" t="s">
        <v>214</v>
      </c>
      <c r="C24" s="252">
        <v>11103.54</v>
      </c>
      <c r="D24" s="253">
        <v>14275.98</v>
      </c>
      <c r="E24" s="253">
        <v>11103.54</v>
      </c>
      <c r="F24" s="253">
        <v>9517.32</v>
      </c>
      <c r="G24" s="253">
        <v>15862.2</v>
      </c>
      <c r="H24" s="253">
        <v>9517.32</v>
      </c>
      <c r="I24" s="253">
        <v>17446.66</v>
      </c>
      <c r="J24" s="253">
        <v>22204.84</v>
      </c>
      <c r="K24" s="253">
        <v>20618.78</v>
      </c>
      <c r="L24" s="253">
        <v>7930.299999999999</v>
      </c>
      <c r="M24" s="253">
        <v>11102.42</v>
      </c>
      <c r="N24" s="253">
        <v>12688.48</v>
      </c>
      <c r="O24" s="254">
        <v>163371.38</v>
      </c>
    </row>
    <row r="25" spans="1:15" ht="12.75">
      <c r="A25" s="164" t="s">
        <v>141</v>
      </c>
      <c r="B25" s="164" t="s">
        <v>259</v>
      </c>
      <c r="C25" s="201">
        <v>3082.58</v>
      </c>
      <c r="D25" s="202">
        <v>3082.58</v>
      </c>
      <c r="E25" s="202">
        <v>3082.58</v>
      </c>
      <c r="F25" s="202">
        <v>1541.29</v>
      </c>
      <c r="G25" s="202">
        <v>4623.87</v>
      </c>
      <c r="H25" s="202">
        <v>3082.58</v>
      </c>
      <c r="I25" s="202">
        <v>3082.58</v>
      </c>
      <c r="J25" s="202">
        <v>3082.58</v>
      </c>
      <c r="K25" s="202">
        <v>3082.58</v>
      </c>
      <c r="L25" s="202">
        <v>1541.29</v>
      </c>
      <c r="M25" s="202">
        <v>1541.29</v>
      </c>
      <c r="N25" s="202">
        <v>3082.58</v>
      </c>
      <c r="O25" s="203">
        <v>33908.380000000005</v>
      </c>
    </row>
    <row r="26" spans="1:15" ht="12.75">
      <c r="A26" s="163"/>
      <c r="B26" s="122" t="s">
        <v>152</v>
      </c>
      <c r="C26" s="352">
        <v>-89.86000000000013</v>
      </c>
      <c r="D26" s="353">
        <v>-89.86000000000013</v>
      </c>
      <c r="E26" s="353">
        <v>-89.86000000000013</v>
      </c>
      <c r="F26" s="353">
        <v>-44.930000000000064</v>
      </c>
      <c r="G26" s="353">
        <v>-134.78999999999996</v>
      </c>
      <c r="H26" s="353">
        <v>-89.86000000000013</v>
      </c>
      <c r="I26" s="353">
        <v>-89.53999999999996</v>
      </c>
      <c r="J26" s="353">
        <v>-89.53999999999996</v>
      </c>
      <c r="K26" s="353">
        <v>-89.53999999999996</v>
      </c>
      <c r="L26" s="353">
        <v>-44.76999999999998</v>
      </c>
      <c r="M26" s="353">
        <v>-44.76999999999998</v>
      </c>
      <c r="N26" s="353">
        <v>-89.53999999999996</v>
      </c>
      <c r="O26" s="354">
        <v>-986.8600000000004</v>
      </c>
    </row>
    <row r="27" spans="1:15" ht="12.75">
      <c r="A27" s="163"/>
      <c r="B27" s="122" t="s">
        <v>153</v>
      </c>
      <c r="C27" s="352">
        <v>-4.041557934055831</v>
      </c>
      <c r="D27" s="353">
        <v>-3.8082780604003825</v>
      </c>
      <c r="E27" s="353">
        <v>-3.543011785761553</v>
      </c>
      <c r="F27" s="353">
        <v>-1.6516712330819971</v>
      </c>
      <c r="G27" s="353">
        <v>-4.5831130309049435</v>
      </c>
      <c r="H27" s="353">
        <v>-2.8168809271333703</v>
      </c>
      <c r="I27" s="353">
        <v>-2.5373018740771314</v>
      </c>
      <c r="J27" s="353">
        <v>-2.2922583537429695</v>
      </c>
      <c r="K27" s="353">
        <v>-2.04030770344535</v>
      </c>
      <c r="L27" s="353">
        <v>-0.8945767331152383</v>
      </c>
      <c r="M27" s="353">
        <v>-0.7811522388891663</v>
      </c>
      <c r="N27" s="353">
        <v>-1.2881331683336454</v>
      </c>
      <c r="O27" s="354">
        <v>-30.278243042941575</v>
      </c>
    </row>
    <row r="28" spans="1:15" ht="12.75">
      <c r="A28" s="163"/>
      <c r="B28" s="122" t="s">
        <v>154</v>
      </c>
      <c r="C28" s="352">
        <v>-93.90155793405596</v>
      </c>
      <c r="D28" s="353">
        <v>-93.66827806040051</v>
      </c>
      <c r="E28" s="353">
        <v>-93.40301178576168</v>
      </c>
      <c r="F28" s="353">
        <v>-46.58167123308206</v>
      </c>
      <c r="G28" s="353">
        <v>-139.3731130309049</v>
      </c>
      <c r="H28" s="353">
        <v>-92.6768809271335</v>
      </c>
      <c r="I28" s="353">
        <v>-92.0773018740771</v>
      </c>
      <c r="J28" s="353">
        <v>-91.83225835374293</v>
      </c>
      <c r="K28" s="353">
        <v>-91.58030770344531</v>
      </c>
      <c r="L28" s="353">
        <v>-45.66457673311522</v>
      </c>
      <c r="M28" s="353">
        <v>-45.551152238889145</v>
      </c>
      <c r="N28" s="353">
        <v>-90.82813316833361</v>
      </c>
      <c r="O28" s="354">
        <v>-1017.138243042942</v>
      </c>
    </row>
    <row r="29" spans="1:15" ht="12.75">
      <c r="A29" s="163"/>
      <c r="B29" s="122" t="s">
        <v>214</v>
      </c>
      <c r="C29" s="252">
        <v>3172.44</v>
      </c>
      <c r="D29" s="253">
        <v>3172.44</v>
      </c>
      <c r="E29" s="253">
        <v>3172.44</v>
      </c>
      <c r="F29" s="253">
        <v>1586.22</v>
      </c>
      <c r="G29" s="253">
        <v>4758.66</v>
      </c>
      <c r="H29" s="253">
        <v>3172.44</v>
      </c>
      <c r="I29" s="253">
        <v>3172.12</v>
      </c>
      <c r="J29" s="253">
        <v>3172.12</v>
      </c>
      <c r="K29" s="253">
        <v>3172.12</v>
      </c>
      <c r="L29" s="253">
        <v>1586.06</v>
      </c>
      <c r="M29" s="253">
        <v>1586.06</v>
      </c>
      <c r="N29" s="253">
        <v>3172.12</v>
      </c>
      <c r="O29" s="254">
        <v>34895.24</v>
      </c>
    </row>
    <row r="30" spans="1:15" ht="12.75">
      <c r="A30" s="164" t="s">
        <v>138</v>
      </c>
      <c r="B30" s="164" t="s">
        <v>259</v>
      </c>
      <c r="C30" s="201">
        <v>1380995.8399999999</v>
      </c>
      <c r="D30" s="202">
        <v>1191417.17</v>
      </c>
      <c r="E30" s="202">
        <v>1128224.28</v>
      </c>
      <c r="F30" s="202">
        <v>587231.49</v>
      </c>
      <c r="G30" s="202">
        <v>727488.88</v>
      </c>
      <c r="H30" s="202">
        <v>903195.94</v>
      </c>
      <c r="I30" s="202">
        <v>944810.77</v>
      </c>
      <c r="J30" s="202">
        <v>955599.7999999999</v>
      </c>
      <c r="K30" s="202">
        <v>943269.48</v>
      </c>
      <c r="L30" s="202">
        <v>775268.87</v>
      </c>
      <c r="M30" s="202">
        <v>1111270.09</v>
      </c>
      <c r="N30" s="202">
        <v>971012.7</v>
      </c>
      <c r="O30" s="203">
        <v>11619785.309999997</v>
      </c>
    </row>
    <row r="31" spans="1:15" ht="12.75">
      <c r="A31" s="163"/>
      <c r="B31" s="122" t="s">
        <v>152</v>
      </c>
      <c r="C31" s="352">
        <v>-40257.28000000026</v>
      </c>
      <c r="D31" s="353">
        <v>-34730.89000000013</v>
      </c>
      <c r="E31" s="353">
        <v>-32888.76000000001</v>
      </c>
      <c r="F31" s="353">
        <v>-17118.330000000075</v>
      </c>
      <c r="G31" s="353">
        <v>-21206.959999999963</v>
      </c>
      <c r="H31" s="353">
        <v>-26328.980000000098</v>
      </c>
      <c r="I31" s="353">
        <v>-27444.009999999893</v>
      </c>
      <c r="J31" s="353">
        <v>-27757.400000000023</v>
      </c>
      <c r="K31" s="353">
        <v>-27399.23999999999</v>
      </c>
      <c r="L31" s="353">
        <v>-22519.30999999994</v>
      </c>
      <c r="M31" s="353">
        <v>-32279.169999999925</v>
      </c>
      <c r="N31" s="353">
        <v>-28205.099999999977</v>
      </c>
      <c r="O31" s="354">
        <v>-338135.4300000003</v>
      </c>
    </row>
    <row r="32" spans="1:15" ht="12.75">
      <c r="A32" s="163"/>
      <c r="B32" s="122" t="s">
        <v>153</v>
      </c>
      <c r="C32" s="352">
        <v>-1810.6179544570214</v>
      </c>
      <c r="D32" s="353">
        <v>-1471.899470344751</v>
      </c>
      <c r="E32" s="353">
        <v>-1296.7423135887268</v>
      </c>
      <c r="F32" s="353">
        <v>-629.2867398042426</v>
      </c>
      <c r="G32" s="353">
        <v>-721.0764501957101</v>
      </c>
      <c r="H32" s="353">
        <v>-825.3461116500796</v>
      </c>
      <c r="I32" s="353">
        <v>-777.683024404638</v>
      </c>
      <c r="J32" s="353">
        <v>-710.6000896603214</v>
      </c>
      <c r="K32" s="353">
        <v>-624.3341572542771</v>
      </c>
      <c r="L32" s="353">
        <v>-449.9720967569638</v>
      </c>
      <c r="M32" s="353">
        <v>-563.2107642390878</v>
      </c>
      <c r="N32" s="353">
        <v>-405.76194802509815</v>
      </c>
      <c r="O32" s="354">
        <v>-10286.531120380918</v>
      </c>
    </row>
    <row r="33" spans="1:15" ht="12.75">
      <c r="A33" s="163"/>
      <c r="B33" s="122" t="s">
        <v>154</v>
      </c>
      <c r="C33" s="352">
        <v>-42067.89795445728</v>
      </c>
      <c r="D33" s="353">
        <v>-36202.789470344884</v>
      </c>
      <c r="E33" s="353">
        <v>-34185.50231358874</v>
      </c>
      <c r="F33" s="353">
        <v>-17747.616739804318</v>
      </c>
      <c r="G33" s="353">
        <v>-21928.036450195672</v>
      </c>
      <c r="H33" s="353">
        <v>-27154.326111650178</v>
      </c>
      <c r="I33" s="353">
        <v>-28221.693024404532</v>
      </c>
      <c r="J33" s="353">
        <v>-28468.000089660345</v>
      </c>
      <c r="K33" s="353">
        <v>-28023.57415725427</v>
      </c>
      <c r="L33" s="353">
        <v>-22969.282096756902</v>
      </c>
      <c r="M33" s="353">
        <v>-32842.38076423902</v>
      </c>
      <c r="N33" s="353">
        <v>-28610.861948025075</v>
      </c>
      <c r="O33" s="354">
        <v>-348421.9611203812</v>
      </c>
    </row>
    <row r="34" spans="1:15" ht="12.75">
      <c r="A34" s="163"/>
      <c r="B34" s="122" t="s">
        <v>214</v>
      </c>
      <c r="C34" s="252">
        <v>1421253.12</v>
      </c>
      <c r="D34" s="253">
        <v>1226148.06</v>
      </c>
      <c r="E34" s="253">
        <v>1161113.04</v>
      </c>
      <c r="F34" s="253">
        <v>604349.8200000001</v>
      </c>
      <c r="G34" s="253">
        <v>748695.84</v>
      </c>
      <c r="H34" s="253">
        <v>929524.92</v>
      </c>
      <c r="I34" s="253">
        <v>972254.7799999999</v>
      </c>
      <c r="J34" s="253">
        <v>983357.2</v>
      </c>
      <c r="K34" s="253">
        <v>970668.72</v>
      </c>
      <c r="L34" s="253">
        <v>797788.1799999999</v>
      </c>
      <c r="M34" s="253">
        <v>1143549.26</v>
      </c>
      <c r="N34" s="253">
        <v>999217.7999999999</v>
      </c>
      <c r="O34" s="254">
        <v>11957920.74</v>
      </c>
    </row>
    <row r="35" spans="1:15" ht="12.75">
      <c r="A35" s="164" t="s">
        <v>144</v>
      </c>
      <c r="B35" s="164" t="s">
        <v>259</v>
      </c>
      <c r="C35" s="201">
        <v>30825.8</v>
      </c>
      <c r="D35" s="202">
        <v>27743.22</v>
      </c>
      <c r="E35" s="202">
        <v>30825.8</v>
      </c>
      <c r="F35" s="202">
        <v>33908.38</v>
      </c>
      <c r="G35" s="202">
        <v>32367.09</v>
      </c>
      <c r="H35" s="202">
        <v>21578.059999999998</v>
      </c>
      <c r="I35" s="202">
        <v>24660.64</v>
      </c>
      <c r="J35" s="202">
        <v>26201.93</v>
      </c>
      <c r="K35" s="202">
        <v>26201.93</v>
      </c>
      <c r="L35" s="202">
        <v>29284.51</v>
      </c>
      <c r="M35" s="202">
        <v>27743.22</v>
      </c>
      <c r="N35" s="202">
        <v>33908.38</v>
      </c>
      <c r="O35" s="203">
        <v>345248.95999999996</v>
      </c>
    </row>
    <row r="36" spans="1:15" ht="12.75">
      <c r="A36" s="163"/>
      <c r="B36" s="122" t="s">
        <v>152</v>
      </c>
      <c r="C36" s="352">
        <v>-898.6000000000022</v>
      </c>
      <c r="D36" s="353">
        <v>-808.739999999998</v>
      </c>
      <c r="E36" s="353">
        <v>-898.6000000000022</v>
      </c>
      <c r="F36" s="353">
        <v>-988.4600000000064</v>
      </c>
      <c r="G36" s="353">
        <v>-943.5300000000025</v>
      </c>
      <c r="H36" s="353">
        <v>-629.0200000000041</v>
      </c>
      <c r="I36" s="353">
        <v>-716.3199999999997</v>
      </c>
      <c r="J36" s="353">
        <v>-761.0900000000001</v>
      </c>
      <c r="K36" s="353">
        <v>-761.0900000000001</v>
      </c>
      <c r="L36" s="353">
        <v>-850.630000000001</v>
      </c>
      <c r="M36" s="353">
        <v>-805.859999999997</v>
      </c>
      <c r="N36" s="353">
        <v>-984.9400000000023</v>
      </c>
      <c r="O36" s="354">
        <v>-10046.880000000016</v>
      </c>
    </row>
    <row r="37" spans="1:15" ht="12.75">
      <c r="A37" s="163"/>
      <c r="B37" s="122" t="s">
        <v>153</v>
      </c>
      <c r="C37" s="352">
        <v>-40.41557934055835</v>
      </c>
      <c r="D37" s="353">
        <v>-34.274502543603305</v>
      </c>
      <c r="E37" s="353">
        <v>-35.43011785761556</v>
      </c>
      <c r="F37" s="353">
        <v>-36.33676712780412</v>
      </c>
      <c r="G37" s="353">
        <v>-32.0817912163347</v>
      </c>
      <c r="H37" s="353">
        <v>-19.718166489933694</v>
      </c>
      <c r="I37" s="353">
        <v>-20.29841499261705</v>
      </c>
      <c r="J37" s="353">
        <v>-19.484196006815253</v>
      </c>
      <c r="K37" s="353">
        <v>-17.342615479285485</v>
      </c>
      <c r="L37" s="353">
        <v>-16.996957929189556</v>
      </c>
      <c r="M37" s="353">
        <v>-14.060740300004944</v>
      </c>
      <c r="N37" s="353">
        <v>-14.169464851670142</v>
      </c>
      <c r="O37" s="354">
        <v>-300.6093141354321</v>
      </c>
    </row>
    <row r="38" spans="1:15" ht="12.75">
      <c r="A38" s="163"/>
      <c r="B38" s="122" t="s">
        <v>154</v>
      </c>
      <c r="C38" s="352">
        <v>-939.0155793405605</v>
      </c>
      <c r="D38" s="353">
        <v>-843.0145025436012</v>
      </c>
      <c r="E38" s="353">
        <v>-934.0301178576177</v>
      </c>
      <c r="F38" s="353">
        <v>-1024.7967671278104</v>
      </c>
      <c r="G38" s="353">
        <v>-975.6117912163372</v>
      </c>
      <c r="H38" s="353">
        <v>-648.7381664899377</v>
      </c>
      <c r="I38" s="353">
        <v>-736.6184149926167</v>
      </c>
      <c r="J38" s="353">
        <v>-780.5741960068154</v>
      </c>
      <c r="K38" s="353">
        <v>-778.4326154792857</v>
      </c>
      <c r="L38" s="353">
        <v>-867.6269579291906</v>
      </c>
      <c r="M38" s="353">
        <v>-819.9207403000019</v>
      </c>
      <c r="N38" s="353">
        <v>-999.1094648516724</v>
      </c>
      <c r="O38" s="354">
        <v>-10347.489314135448</v>
      </c>
    </row>
    <row r="39" spans="1:15" ht="12.75">
      <c r="A39" s="163"/>
      <c r="B39" s="122" t="s">
        <v>214</v>
      </c>
      <c r="C39" s="252">
        <v>31724.4</v>
      </c>
      <c r="D39" s="253">
        <v>28551.96</v>
      </c>
      <c r="E39" s="253">
        <v>31724.4</v>
      </c>
      <c r="F39" s="253">
        <v>34896.840000000004</v>
      </c>
      <c r="G39" s="253">
        <v>33310.62</v>
      </c>
      <c r="H39" s="253">
        <v>22207.08</v>
      </c>
      <c r="I39" s="253">
        <v>25376.96</v>
      </c>
      <c r="J39" s="253">
        <v>26963.02</v>
      </c>
      <c r="K39" s="253">
        <v>26963.02</v>
      </c>
      <c r="L39" s="253">
        <v>30135.14</v>
      </c>
      <c r="M39" s="253">
        <v>28549.079999999998</v>
      </c>
      <c r="N39" s="253">
        <v>34893.32</v>
      </c>
      <c r="O39" s="254">
        <v>355295.83999999997</v>
      </c>
    </row>
    <row r="40" spans="1:15" ht="12.75">
      <c r="A40" s="164" t="s">
        <v>117</v>
      </c>
      <c r="B40" s="164" t="s">
        <v>259</v>
      </c>
      <c r="C40" s="201">
        <v>140257.38999999998</v>
      </c>
      <c r="D40" s="202">
        <v>152587.71</v>
      </c>
      <c r="E40" s="202">
        <v>144881.26</v>
      </c>
      <c r="F40" s="202">
        <v>129468.36</v>
      </c>
      <c r="G40" s="202">
        <v>168000.61</v>
      </c>
      <c r="H40" s="202">
        <v>211156.72999999998</v>
      </c>
      <c r="I40" s="202">
        <v>223487.05</v>
      </c>
      <c r="J40" s="202">
        <v>235817.37</v>
      </c>
      <c r="K40" s="202">
        <v>218863.18</v>
      </c>
      <c r="L40" s="202">
        <v>192661.25</v>
      </c>
      <c r="M40" s="202">
        <v>129468.36</v>
      </c>
      <c r="N40" s="202">
        <v>134092.23</v>
      </c>
      <c r="O40" s="203">
        <v>2080741.5</v>
      </c>
    </row>
    <row r="41" spans="1:15" ht="12.75">
      <c r="A41" s="163"/>
      <c r="B41" s="122" t="s">
        <v>152</v>
      </c>
      <c r="C41" s="352">
        <v>-4088.6300000000047</v>
      </c>
      <c r="D41" s="353">
        <v>-4448.070000000007</v>
      </c>
      <c r="E41" s="353">
        <v>-4223.419999999984</v>
      </c>
      <c r="F41" s="353">
        <v>-3774.12000000001</v>
      </c>
      <c r="G41" s="353">
        <v>-4897.370000000024</v>
      </c>
      <c r="H41" s="353">
        <v>-6155.410000000033</v>
      </c>
      <c r="I41" s="353">
        <v>-6491.649999999994</v>
      </c>
      <c r="J41" s="353">
        <v>-6849.809999999998</v>
      </c>
      <c r="K41" s="353">
        <v>-6357.3399999999965</v>
      </c>
      <c r="L41" s="353">
        <v>-5596.25</v>
      </c>
      <c r="M41" s="353">
        <v>-3760.6800000000076</v>
      </c>
      <c r="N41" s="353">
        <v>-3894.9899999999907</v>
      </c>
      <c r="O41" s="354">
        <v>-60537.74000000005</v>
      </c>
    </row>
    <row r="42" spans="1:15" ht="12.75">
      <c r="A42" s="163"/>
      <c r="B42" s="122" t="s">
        <v>153</v>
      </c>
      <c r="C42" s="352">
        <v>-183.89088599954027</v>
      </c>
      <c r="D42" s="353">
        <v>-188.50976398981894</v>
      </c>
      <c r="E42" s="353">
        <v>-166.52155393079212</v>
      </c>
      <c r="F42" s="353">
        <v>-138.74038357888793</v>
      </c>
      <c r="G42" s="353">
        <v>-166.51977345621384</v>
      </c>
      <c r="H42" s="353">
        <v>-192.95634350863665</v>
      </c>
      <c r="I42" s="353">
        <v>-183.95438587059192</v>
      </c>
      <c r="J42" s="353">
        <v>-175.35776406133718</v>
      </c>
      <c r="K42" s="353">
        <v>-144.86184694461986</v>
      </c>
      <c r="L42" s="353">
        <v>-111.82209163940482</v>
      </c>
      <c r="M42" s="353">
        <v>-65.61678806669013</v>
      </c>
      <c r="N42" s="353">
        <v>-56.03379282251347</v>
      </c>
      <c r="O42" s="354">
        <v>-1774.7853738690471</v>
      </c>
    </row>
    <row r="43" spans="1:15" ht="12.75">
      <c r="A43" s="163"/>
      <c r="B43" s="122" t="s">
        <v>154</v>
      </c>
      <c r="C43" s="352">
        <v>-4272.520885999545</v>
      </c>
      <c r="D43" s="353">
        <v>-4636.579763989826</v>
      </c>
      <c r="E43" s="353">
        <v>-4389.941553930776</v>
      </c>
      <c r="F43" s="353">
        <v>-3912.8603835788977</v>
      </c>
      <c r="G43" s="353">
        <v>-5063.889773456238</v>
      </c>
      <c r="H43" s="353">
        <v>-6348.366343508669</v>
      </c>
      <c r="I43" s="353">
        <v>-6675.604385870586</v>
      </c>
      <c r="J43" s="353">
        <v>-7025.167764061335</v>
      </c>
      <c r="K43" s="353">
        <v>-6502.201846944617</v>
      </c>
      <c r="L43" s="353">
        <v>-5708.072091639405</v>
      </c>
      <c r="M43" s="353">
        <v>-3826.296788066698</v>
      </c>
      <c r="N43" s="353">
        <v>-3951.023792822504</v>
      </c>
      <c r="O43" s="354">
        <v>-62312.5253738691</v>
      </c>
    </row>
    <row r="44" spans="1:15" ht="12.75">
      <c r="A44" s="163"/>
      <c r="B44" s="122" t="s">
        <v>214</v>
      </c>
      <c r="C44" s="252">
        <v>144346.02</v>
      </c>
      <c r="D44" s="253">
        <v>157035.78</v>
      </c>
      <c r="E44" s="253">
        <v>149104.68</v>
      </c>
      <c r="F44" s="253">
        <v>133242.48</v>
      </c>
      <c r="G44" s="253">
        <v>172897.98</v>
      </c>
      <c r="H44" s="253">
        <v>217312.14</v>
      </c>
      <c r="I44" s="253">
        <v>229978.69999999998</v>
      </c>
      <c r="J44" s="253">
        <v>242667.18</v>
      </c>
      <c r="K44" s="253">
        <v>225220.52</v>
      </c>
      <c r="L44" s="253">
        <v>198257.5</v>
      </c>
      <c r="M44" s="253">
        <v>133229.04</v>
      </c>
      <c r="N44" s="253">
        <v>137987.22</v>
      </c>
      <c r="O44" s="254">
        <v>2141279.24</v>
      </c>
    </row>
    <row r="45" spans="1:15" ht="12.75">
      <c r="A45" s="164" t="s">
        <v>146</v>
      </c>
      <c r="B45" s="164" t="s">
        <v>259</v>
      </c>
      <c r="C45" s="201">
        <v>4420419.72</v>
      </c>
      <c r="D45" s="202">
        <v>4674732.57</v>
      </c>
      <c r="E45" s="202">
        <v>4440456.49</v>
      </c>
      <c r="F45" s="202">
        <v>3745334.6999999997</v>
      </c>
      <c r="G45" s="202">
        <v>4825778.99</v>
      </c>
      <c r="H45" s="202">
        <v>5653451.72</v>
      </c>
      <c r="I45" s="202">
        <v>6075765.18</v>
      </c>
      <c r="J45" s="202">
        <v>6271509.01</v>
      </c>
      <c r="K45" s="202">
        <v>5850736.84</v>
      </c>
      <c r="L45" s="202">
        <v>5118624.09</v>
      </c>
      <c r="M45" s="202">
        <v>4096748.82</v>
      </c>
      <c r="N45" s="202">
        <v>4127574.62</v>
      </c>
      <c r="O45" s="203">
        <v>59301132.75</v>
      </c>
    </row>
    <row r="46" spans="1:15" ht="12.75">
      <c r="A46" s="163"/>
      <c r="B46" s="122" t="s">
        <v>152</v>
      </c>
      <c r="C46" s="352">
        <v>-128859.24000000022</v>
      </c>
      <c r="D46" s="353">
        <v>-136272.68999999948</v>
      </c>
      <c r="E46" s="353">
        <v>-129443.33000000007</v>
      </c>
      <c r="F46" s="353">
        <v>-109179.90000000037</v>
      </c>
      <c r="G46" s="353">
        <v>-140675.83000000007</v>
      </c>
      <c r="H46" s="353">
        <v>-164803.24000000022</v>
      </c>
      <c r="I46" s="353">
        <v>-176483.33999999985</v>
      </c>
      <c r="J46" s="353">
        <v>-182169.1299999999</v>
      </c>
      <c r="K46" s="353">
        <v>-169946.91999999993</v>
      </c>
      <c r="L46" s="353">
        <v>-148681.16999999993</v>
      </c>
      <c r="M46" s="353">
        <v>-118998.65999999968</v>
      </c>
      <c r="N46" s="353">
        <v>-119894.05999999959</v>
      </c>
      <c r="O46" s="354">
        <v>-1725407.5099999993</v>
      </c>
    </row>
    <row r="47" spans="1:15" ht="12.75">
      <c r="A47" s="163"/>
      <c r="B47" s="122" t="s">
        <v>153</v>
      </c>
      <c r="C47" s="352">
        <v>-5795.594077436063</v>
      </c>
      <c r="D47" s="353">
        <v>-5775.253678597149</v>
      </c>
      <c r="E47" s="353">
        <v>-5103.708477389512</v>
      </c>
      <c r="F47" s="353">
        <v>-4013.561096389261</v>
      </c>
      <c r="G47" s="353">
        <v>-4783.242299921129</v>
      </c>
      <c r="H47" s="353">
        <v>-5166.159620362601</v>
      </c>
      <c r="I47" s="353">
        <v>-5001.021993806024</v>
      </c>
      <c r="J47" s="353">
        <v>-4663.599620690071</v>
      </c>
      <c r="K47" s="353">
        <v>-3872.5040211392743</v>
      </c>
      <c r="L47" s="353">
        <v>-2970.8893306757054</v>
      </c>
      <c r="M47" s="353">
        <v>-2076.302650967399</v>
      </c>
      <c r="N47" s="353">
        <v>-1724.8103123987462</v>
      </c>
      <c r="O47" s="354">
        <v>-50946.64717977295</v>
      </c>
    </row>
    <row r="48" spans="1:15" ht="12.75">
      <c r="A48" s="163"/>
      <c r="B48" s="122" t="s">
        <v>154</v>
      </c>
      <c r="C48" s="352">
        <v>-134654.83407743627</v>
      </c>
      <c r="D48" s="353">
        <v>-142047.94367859664</v>
      </c>
      <c r="E48" s="353">
        <v>-134547.03847738958</v>
      </c>
      <c r="F48" s="353">
        <v>-113193.46109638963</v>
      </c>
      <c r="G48" s="353">
        <v>-145459.07229992122</v>
      </c>
      <c r="H48" s="353">
        <v>-169969.39962036282</v>
      </c>
      <c r="I48" s="353">
        <v>-181484.36199380588</v>
      </c>
      <c r="J48" s="353">
        <v>-186832.72962068996</v>
      </c>
      <c r="K48" s="353">
        <v>-173819.4240211392</v>
      </c>
      <c r="L48" s="353">
        <v>-151652.05933067563</v>
      </c>
      <c r="M48" s="353">
        <v>-121074.96265096708</v>
      </c>
      <c r="N48" s="353">
        <v>-121618.87031239834</v>
      </c>
      <c r="O48" s="354">
        <v>-1776354.1571797722</v>
      </c>
    </row>
    <row r="49" spans="1:15" ht="12.75">
      <c r="A49" s="163"/>
      <c r="B49" s="122" t="s">
        <v>214</v>
      </c>
      <c r="C49" s="252">
        <v>4549278.96</v>
      </c>
      <c r="D49" s="253">
        <v>4811005.26</v>
      </c>
      <c r="E49" s="253">
        <v>4569899.82</v>
      </c>
      <c r="F49" s="253">
        <v>3854514.6</v>
      </c>
      <c r="G49" s="253">
        <v>4966454.82</v>
      </c>
      <c r="H49" s="253">
        <v>5818254.96</v>
      </c>
      <c r="I49" s="253">
        <v>6252248.52</v>
      </c>
      <c r="J49" s="253">
        <v>6453678.14</v>
      </c>
      <c r="K49" s="253">
        <v>6020683.76</v>
      </c>
      <c r="L49" s="253">
        <v>5267305.26</v>
      </c>
      <c r="M49" s="253">
        <v>4215747.4799999995</v>
      </c>
      <c r="N49" s="253">
        <v>4247468.68</v>
      </c>
      <c r="O49" s="254">
        <v>61026540.25999999</v>
      </c>
    </row>
    <row r="50" spans="1:15" ht="12.75">
      <c r="A50" s="164" t="s">
        <v>147</v>
      </c>
      <c r="B50" s="164" t="s">
        <v>259</v>
      </c>
      <c r="C50" s="201">
        <v>5278918.25</v>
      </c>
      <c r="D50" s="202">
        <v>4936751.87</v>
      </c>
      <c r="E50" s="202">
        <v>4870476.399999999</v>
      </c>
      <c r="F50" s="202">
        <v>3879426.9299999997</v>
      </c>
      <c r="G50" s="202">
        <v>4440456.49</v>
      </c>
      <c r="H50" s="202">
        <v>5166404.08</v>
      </c>
      <c r="I50" s="202">
        <v>5226514.39</v>
      </c>
      <c r="J50" s="202">
        <v>5597965.28</v>
      </c>
      <c r="K50" s="202">
        <v>5346735.01</v>
      </c>
      <c r="L50" s="202">
        <v>4680897.7299999995</v>
      </c>
      <c r="M50" s="202">
        <v>4552970.66</v>
      </c>
      <c r="N50" s="202">
        <v>4064381.73</v>
      </c>
      <c r="O50" s="203">
        <v>58041898.819999985</v>
      </c>
    </row>
    <row r="51" spans="1:15" ht="12.75">
      <c r="A51" s="163"/>
      <c r="B51" s="122" t="s">
        <v>152</v>
      </c>
      <c r="C51" s="352">
        <v>-153885.25</v>
      </c>
      <c r="D51" s="353">
        <v>-143910.79000000004</v>
      </c>
      <c r="E51" s="353">
        <v>-141978.80000000075</v>
      </c>
      <c r="F51" s="353">
        <v>-113088.81000000052</v>
      </c>
      <c r="G51" s="353">
        <v>-129443.33000000007</v>
      </c>
      <c r="H51" s="353">
        <v>-150605.36000000034</v>
      </c>
      <c r="I51" s="353">
        <v>-151815.0700000003</v>
      </c>
      <c r="J51" s="353">
        <v>-162604.63999999966</v>
      </c>
      <c r="K51" s="353">
        <v>-155307.1299999999</v>
      </c>
      <c r="L51" s="353">
        <v>-135966.49000000022</v>
      </c>
      <c r="M51" s="353">
        <v>-132250.58000000007</v>
      </c>
      <c r="N51" s="353">
        <v>-118058.48999999976</v>
      </c>
      <c r="O51" s="354">
        <v>-1688914.7400000016</v>
      </c>
    </row>
    <row r="52" spans="1:15" ht="12.75">
      <c r="A52" s="163"/>
      <c r="B52" s="122" t="s">
        <v>153</v>
      </c>
      <c r="C52" s="352">
        <v>-6921.167962070601</v>
      </c>
      <c r="D52" s="353">
        <v>-6098.957313731204</v>
      </c>
      <c r="E52" s="353">
        <v>-5597.958621503275</v>
      </c>
      <c r="F52" s="353">
        <v>-4157.2564936674</v>
      </c>
      <c r="G52" s="353">
        <v>-4401.316214012384</v>
      </c>
      <c r="H52" s="353">
        <v>-4721.092433875533</v>
      </c>
      <c r="I52" s="353">
        <v>-4301.995327497786</v>
      </c>
      <c r="J52" s="353">
        <v>-4162.741170397225</v>
      </c>
      <c r="K52" s="353">
        <v>-3538.9137116259585</v>
      </c>
      <c r="L52" s="353">
        <v>-2716.829538470984</v>
      </c>
      <c r="M52" s="353">
        <v>-2307.523713678599</v>
      </c>
      <c r="N52" s="353">
        <v>-1698.4035824479088</v>
      </c>
      <c r="O52" s="354">
        <v>-50624.15608297886</v>
      </c>
    </row>
    <row r="53" spans="1:15" ht="12.75">
      <c r="A53" s="163"/>
      <c r="B53" s="122" t="s">
        <v>154</v>
      </c>
      <c r="C53" s="352">
        <v>-160806.4179620706</v>
      </c>
      <c r="D53" s="353">
        <v>-150009.74731373123</v>
      </c>
      <c r="E53" s="353">
        <v>-147576.758621504</v>
      </c>
      <c r="F53" s="353">
        <v>-117246.06649366792</v>
      </c>
      <c r="G53" s="353">
        <v>-133844.64621401246</v>
      </c>
      <c r="H53" s="353">
        <v>-155326.45243387588</v>
      </c>
      <c r="I53" s="353">
        <v>-156117.06532749807</v>
      </c>
      <c r="J53" s="353">
        <v>-166767.3811703969</v>
      </c>
      <c r="K53" s="353">
        <v>-158846.04371162585</v>
      </c>
      <c r="L53" s="353">
        <v>-138683.3195384712</v>
      </c>
      <c r="M53" s="353">
        <v>-134558.10371367866</v>
      </c>
      <c r="N53" s="353">
        <v>-119756.89358244766</v>
      </c>
      <c r="O53" s="354">
        <v>-1739538.8960829803</v>
      </c>
    </row>
    <row r="54" spans="1:15" ht="12.75">
      <c r="A54" s="163"/>
      <c r="B54" s="122" t="s">
        <v>214</v>
      </c>
      <c r="C54" s="252">
        <v>5432803.5</v>
      </c>
      <c r="D54" s="253">
        <v>5080662.66</v>
      </c>
      <c r="E54" s="253">
        <v>5012455.2</v>
      </c>
      <c r="F54" s="253">
        <v>3992515.74</v>
      </c>
      <c r="G54" s="253">
        <v>4569899.82</v>
      </c>
      <c r="H54" s="253">
        <v>5317009.44</v>
      </c>
      <c r="I54" s="253">
        <v>5378329.46</v>
      </c>
      <c r="J54" s="253">
        <v>5760569.92</v>
      </c>
      <c r="K54" s="253">
        <v>5502042.14</v>
      </c>
      <c r="L54" s="253">
        <v>4816864.22</v>
      </c>
      <c r="M54" s="253">
        <v>4685221.24</v>
      </c>
      <c r="N54" s="253">
        <v>4182440.2199999997</v>
      </c>
      <c r="O54" s="254">
        <v>59730813.56</v>
      </c>
    </row>
    <row r="55" spans="1:15" ht="12.75">
      <c r="A55" s="164" t="s">
        <v>139</v>
      </c>
      <c r="B55" s="164" t="s">
        <v>259</v>
      </c>
      <c r="C55" s="201">
        <v>206532.86</v>
      </c>
      <c r="D55" s="202">
        <v>171083.19</v>
      </c>
      <c r="E55" s="202">
        <v>171083.19</v>
      </c>
      <c r="F55" s="202">
        <v>101725.14</v>
      </c>
      <c r="G55" s="202">
        <v>120220.62</v>
      </c>
      <c r="H55" s="202">
        <v>147963.84</v>
      </c>
      <c r="I55" s="202">
        <v>149505.13</v>
      </c>
      <c r="J55" s="202">
        <v>155670.29</v>
      </c>
      <c r="K55" s="202">
        <v>151046.41999999998</v>
      </c>
      <c r="L55" s="202">
        <v>123303.2</v>
      </c>
      <c r="M55" s="202">
        <v>87853.53</v>
      </c>
      <c r="N55" s="202">
        <v>151046.41999999998</v>
      </c>
      <c r="O55" s="203">
        <v>1737033.8299999998</v>
      </c>
    </row>
    <row r="56" spans="1:15" ht="12.75">
      <c r="A56" s="163"/>
      <c r="B56" s="122" t="s">
        <v>152</v>
      </c>
      <c r="C56" s="352">
        <v>-6020.620000000024</v>
      </c>
      <c r="D56" s="353">
        <v>-4987.2300000000105</v>
      </c>
      <c r="E56" s="353">
        <v>-4987.2300000000105</v>
      </c>
      <c r="F56" s="353">
        <v>-2965.3800000000047</v>
      </c>
      <c r="G56" s="353">
        <v>-3504.540000000008</v>
      </c>
      <c r="H56" s="353">
        <v>-4313.279999999999</v>
      </c>
      <c r="I56" s="353">
        <v>-4342.690000000002</v>
      </c>
      <c r="J56" s="353">
        <v>-4521.7699999999895</v>
      </c>
      <c r="K56" s="353">
        <v>-4387.460000000021</v>
      </c>
      <c r="L56" s="353">
        <v>-3581.5999999999913</v>
      </c>
      <c r="M56" s="353">
        <v>-2551.8899999999994</v>
      </c>
      <c r="N56" s="353">
        <v>-4387.460000000021</v>
      </c>
      <c r="O56" s="354">
        <v>-50551.15000000008</v>
      </c>
    </row>
    <row r="57" spans="1:15" ht="12.75">
      <c r="A57" s="163"/>
      <c r="B57" s="122" t="s">
        <v>153</v>
      </c>
      <c r="C57" s="352">
        <v>-270.7843815817414</v>
      </c>
      <c r="D57" s="353">
        <v>-211.35943235222135</v>
      </c>
      <c r="E57" s="353">
        <v>-196.63715410976633</v>
      </c>
      <c r="F57" s="353">
        <v>-109.01030138341183</v>
      </c>
      <c r="G57" s="353">
        <v>-119.16093880352884</v>
      </c>
      <c r="H57" s="353">
        <v>-135.21028450240158</v>
      </c>
      <c r="I57" s="353">
        <v>-123.05914089274097</v>
      </c>
      <c r="J57" s="353">
        <v>-115.75904686401975</v>
      </c>
      <c r="K57" s="353">
        <v>-99.97507746882266</v>
      </c>
      <c r="L57" s="353">
        <v>-71.56613864921891</v>
      </c>
      <c r="M57" s="353">
        <v>-44.525677616682486</v>
      </c>
      <c r="N57" s="353">
        <v>-63.11852524834896</v>
      </c>
      <c r="O57" s="354">
        <v>-1560.1660994729052</v>
      </c>
    </row>
    <row r="58" spans="1:15" ht="12.75">
      <c r="A58" s="163"/>
      <c r="B58" s="122" t="s">
        <v>154</v>
      </c>
      <c r="C58" s="352">
        <v>-6291.404381581766</v>
      </c>
      <c r="D58" s="353">
        <v>-5198.589432352232</v>
      </c>
      <c r="E58" s="353">
        <v>-5183.8671541097765</v>
      </c>
      <c r="F58" s="353">
        <v>-3074.3903013834165</v>
      </c>
      <c r="G58" s="353">
        <v>-3623.700938803537</v>
      </c>
      <c r="H58" s="353">
        <v>-4448.490284502401</v>
      </c>
      <c r="I58" s="353">
        <v>-4465.7491408927435</v>
      </c>
      <c r="J58" s="353">
        <v>-4637.52904686401</v>
      </c>
      <c r="K58" s="353">
        <v>-4487.435077468844</v>
      </c>
      <c r="L58" s="353">
        <v>-3653.16613864921</v>
      </c>
      <c r="M58" s="353">
        <v>-2596.415677616682</v>
      </c>
      <c r="N58" s="353">
        <v>-4450.57852524837</v>
      </c>
      <c r="O58" s="354">
        <v>-52111.31609947299</v>
      </c>
    </row>
    <row r="59" spans="1:15" ht="12.75">
      <c r="A59" s="163"/>
      <c r="B59" s="122" t="s">
        <v>214</v>
      </c>
      <c r="C59" s="252">
        <v>212553.48</v>
      </c>
      <c r="D59" s="253">
        <v>176070.42</v>
      </c>
      <c r="E59" s="253">
        <v>176070.42</v>
      </c>
      <c r="F59" s="253">
        <v>104690.52</v>
      </c>
      <c r="G59" s="253">
        <v>123725.16</v>
      </c>
      <c r="H59" s="253">
        <v>152277.12</v>
      </c>
      <c r="I59" s="253">
        <v>153847.82</v>
      </c>
      <c r="J59" s="253">
        <v>160192.06</v>
      </c>
      <c r="K59" s="253">
        <v>155433.88</v>
      </c>
      <c r="L59" s="253">
        <v>126884.79999999999</v>
      </c>
      <c r="M59" s="253">
        <v>90405.42</v>
      </c>
      <c r="N59" s="253">
        <v>155433.88</v>
      </c>
      <c r="O59" s="254">
        <v>1787584.9800000004</v>
      </c>
    </row>
    <row r="60" spans="1:15" ht="12.75">
      <c r="A60" s="164" t="s">
        <v>118</v>
      </c>
      <c r="B60" s="164" t="s">
        <v>259</v>
      </c>
      <c r="C60" s="201">
        <v>53945.15</v>
      </c>
      <c r="D60" s="202">
        <v>58569.02</v>
      </c>
      <c r="E60" s="202">
        <v>57027.729999999996</v>
      </c>
      <c r="F60" s="202">
        <v>35449.67</v>
      </c>
      <c r="G60" s="202">
        <v>40073.54</v>
      </c>
      <c r="H60" s="202">
        <v>47779.99</v>
      </c>
      <c r="I60" s="202">
        <v>49321.28</v>
      </c>
      <c r="J60" s="202">
        <v>49321.28</v>
      </c>
      <c r="K60" s="202">
        <v>49321.28</v>
      </c>
      <c r="L60" s="202">
        <v>40073.54</v>
      </c>
      <c r="M60" s="202">
        <v>46238.7</v>
      </c>
      <c r="N60" s="202">
        <v>44697.409999999996</v>
      </c>
      <c r="O60" s="203">
        <v>571818.5900000001</v>
      </c>
    </row>
    <row r="61" spans="1:15" ht="12.75">
      <c r="A61" s="163"/>
      <c r="B61" s="122" t="s">
        <v>152</v>
      </c>
      <c r="C61" s="352">
        <v>-1572.550000000003</v>
      </c>
      <c r="D61" s="353">
        <v>-1707.3400000000038</v>
      </c>
      <c r="E61" s="353">
        <v>-1662.4100000000035</v>
      </c>
      <c r="F61" s="353">
        <v>-1033.3899999999994</v>
      </c>
      <c r="G61" s="353">
        <v>-1168.1800000000003</v>
      </c>
      <c r="H61" s="353">
        <v>-1392.8300000000017</v>
      </c>
      <c r="I61" s="353">
        <v>-1432.6399999999994</v>
      </c>
      <c r="J61" s="353">
        <v>-1432.6399999999994</v>
      </c>
      <c r="K61" s="353">
        <v>-1432.6399999999994</v>
      </c>
      <c r="L61" s="353">
        <v>-1164.0199999999968</v>
      </c>
      <c r="M61" s="353">
        <v>-1343.0999999999985</v>
      </c>
      <c r="N61" s="353">
        <v>-1298.3300000000017</v>
      </c>
      <c r="O61" s="354">
        <v>-16640.070000000007</v>
      </c>
    </row>
    <row r="62" spans="1:15" ht="12.75">
      <c r="A62" s="163"/>
      <c r="B62" s="122" t="s">
        <v>153</v>
      </c>
      <c r="C62" s="352">
        <v>-70.72726384597706</v>
      </c>
      <c r="D62" s="353">
        <v>-72.35728314760732</v>
      </c>
      <c r="E62" s="353">
        <v>-65.54571803658878</v>
      </c>
      <c r="F62" s="353">
        <v>-37.98843836088586</v>
      </c>
      <c r="G62" s="353">
        <v>-39.720312934509536</v>
      </c>
      <c r="H62" s="353">
        <v>-43.661654370567234</v>
      </c>
      <c r="I62" s="353">
        <v>-40.5968299852341</v>
      </c>
      <c r="J62" s="353">
        <v>-36.67613365988751</v>
      </c>
      <c r="K62" s="353">
        <v>-32.6449232551256</v>
      </c>
      <c r="L62" s="353">
        <v>-23.25899506099614</v>
      </c>
      <c r="M62" s="353">
        <v>-23.434567166674974</v>
      </c>
      <c r="N62" s="353">
        <v>-18.677930940837896</v>
      </c>
      <c r="O62" s="354">
        <v>-505.290050764892</v>
      </c>
    </row>
    <row r="63" spans="1:15" ht="12.75">
      <c r="A63" s="163"/>
      <c r="B63" s="122" t="s">
        <v>154</v>
      </c>
      <c r="C63" s="352">
        <v>-1643.27726384598</v>
      </c>
      <c r="D63" s="353">
        <v>-1779.6972831476112</v>
      </c>
      <c r="E63" s="353">
        <v>-1727.9557180365923</v>
      </c>
      <c r="F63" s="353">
        <v>-1071.3784383608852</v>
      </c>
      <c r="G63" s="353">
        <v>-1207.9003129345099</v>
      </c>
      <c r="H63" s="353">
        <v>-1436.491654370569</v>
      </c>
      <c r="I63" s="353">
        <v>-1473.2368299852335</v>
      </c>
      <c r="J63" s="353">
        <v>-1469.3161336598869</v>
      </c>
      <c r="K63" s="353">
        <v>-1465.284923255125</v>
      </c>
      <c r="L63" s="353">
        <v>-1187.2789950609929</v>
      </c>
      <c r="M63" s="353">
        <v>-1366.5345671666735</v>
      </c>
      <c r="N63" s="353">
        <v>-1317.0079309408397</v>
      </c>
      <c r="O63" s="354">
        <v>-17145.3600507649</v>
      </c>
    </row>
    <row r="64" spans="1:15" ht="12.75">
      <c r="A64" s="163"/>
      <c r="B64" s="122" t="s">
        <v>214</v>
      </c>
      <c r="C64" s="252">
        <v>55517.700000000004</v>
      </c>
      <c r="D64" s="253">
        <v>60276.36</v>
      </c>
      <c r="E64" s="253">
        <v>58690.14</v>
      </c>
      <c r="F64" s="253">
        <v>36483.06</v>
      </c>
      <c r="G64" s="253">
        <v>41241.72</v>
      </c>
      <c r="H64" s="253">
        <v>49172.82</v>
      </c>
      <c r="I64" s="253">
        <v>50753.92</v>
      </c>
      <c r="J64" s="253">
        <v>50753.92</v>
      </c>
      <c r="K64" s="253">
        <v>50753.92</v>
      </c>
      <c r="L64" s="253">
        <v>41237.56</v>
      </c>
      <c r="M64" s="253">
        <v>47581.799999999996</v>
      </c>
      <c r="N64" s="253">
        <v>45995.74</v>
      </c>
      <c r="O64" s="254">
        <v>588458.6599999999</v>
      </c>
    </row>
    <row r="65" spans="1:15" ht="12.75">
      <c r="A65" s="164" t="s">
        <v>221</v>
      </c>
      <c r="B65" s="164" t="s">
        <v>259</v>
      </c>
      <c r="C65" s="201">
        <v>157211.58</v>
      </c>
      <c r="D65" s="202">
        <v>164918.03</v>
      </c>
      <c r="E65" s="202">
        <v>147963.84</v>
      </c>
      <c r="F65" s="202">
        <v>129468.36</v>
      </c>
      <c r="G65" s="202">
        <v>169541.9</v>
      </c>
      <c r="H65" s="202">
        <v>197285.12</v>
      </c>
      <c r="I65" s="202">
        <v>191119.96</v>
      </c>
      <c r="J65" s="202">
        <v>229652.21</v>
      </c>
      <c r="K65" s="202">
        <v>212698.02</v>
      </c>
      <c r="L65" s="202">
        <v>169541.9</v>
      </c>
      <c r="M65" s="202">
        <v>151046.41999999998</v>
      </c>
      <c r="N65" s="202">
        <v>131009.65</v>
      </c>
      <c r="O65" s="203">
        <v>2051456.9899999998</v>
      </c>
    </row>
    <row r="66" spans="1:15" ht="12.75">
      <c r="A66" s="163"/>
      <c r="B66" s="122" t="s">
        <v>152</v>
      </c>
      <c r="C66" s="252">
        <v>-4582.860000000015</v>
      </c>
      <c r="D66" s="253">
        <v>-4807.510000000009</v>
      </c>
      <c r="E66" s="253">
        <v>-4313.279999999999</v>
      </c>
      <c r="F66" s="253">
        <v>-3774.12000000001</v>
      </c>
      <c r="G66" s="253">
        <v>-4942.3000000000175</v>
      </c>
      <c r="H66" s="253">
        <v>-5751.040000000008</v>
      </c>
      <c r="I66" s="253">
        <v>-5551.4800000000105</v>
      </c>
      <c r="J66" s="253">
        <v>-6670.7300000000105</v>
      </c>
      <c r="K66" s="253">
        <v>-6178.260000000009</v>
      </c>
      <c r="L66" s="253">
        <v>-4924.700000000012</v>
      </c>
      <c r="M66" s="253">
        <v>-4387.460000000021</v>
      </c>
      <c r="N66" s="253">
        <v>-3805.4500000000116</v>
      </c>
      <c r="O66" s="254">
        <v>-59689.19000000013</v>
      </c>
    </row>
    <row r="67" spans="1:15" ht="12.75">
      <c r="A67" s="163"/>
      <c r="B67" s="122" t="s">
        <v>153</v>
      </c>
      <c r="C67" s="252">
        <v>-206.11945463684773</v>
      </c>
      <c r="D67" s="253">
        <v>-203.74287623142055</v>
      </c>
      <c r="E67" s="253">
        <v>-170.06456571655428</v>
      </c>
      <c r="F67" s="253">
        <v>-138.74038357888793</v>
      </c>
      <c r="G67" s="253">
        <v>-168.04747779984856</v>
      </c>
      <c r="H67" s="253">
        <v>-180.2803793365357</v>
      </c>
      <c r="I67" s="253">
        <v>-157.3127161927825</v>
      </c>
      <c r="J67" s="253">
        <v>-170.77324735385156</v>
      </c>
      <c r="K67" s="253">
        <v>-140.7812315377294</v>
      </c>
      <c r="L67" s="253">
        <v>-98.40344064267647</v>
      </c>
      <c r="M67" s="253">
        <v>-76.55291941113869</v>
      </c>
      <c r="N67" s="253">
        <v>-54.74565965418013</v>
      </c>
      <c r="O67" s="254">
        <v>-1765.5643520924536</v>
      </c>
    </row>
    <row r="68" spans="1:15" ht="12.75">
      <c r="A68" s="163"/>
      <c r="B68" s="122" t="s">
        <v>154</v>
      </c>
      <c r="C68" s="252">
        <v>-4788.979454636863</v>
      </c>
      <c r="D68" s="253">
        <v>-5011.25287623143</v>
      </c>
      <c r="E68" s="253">
        <v>-4483.344565716553</v>
      </c>
      <c r="F68" s="253">
        <v>-3912.8603835788977</v>
      </c>
      <c r="G68" s="253">
        <v>-5110.347477799866</v>
      </c>
      <c r="H68" s="253">
        <v>-5931.320379336544</v>
      </c>
      <c r="I68" s="253">
        <v>-5708.792716192793</v>
      </c>
      <c r="J68" s="253">
        <v>-6841.503247353862</v>
      </c>
      <c r="K68" s="253">
        <v>-6319.041231537739</v>
      </c>
      <c r="L68" s="253">
        <v>-5023.103440642688</v>
      </c>
      <c r="M68" s="253">
        <v>-4464.01291941116</v>
      </c>
      <c r="N68" s="253">
        <v>-3860.195659654192</v>
      </c>
      <c r="O68" s="254">
        <v>-61454.75435209258</v>
      </c>
    </row>
    <row r="69" spans="1:15" ht="12.75">
      <c r="A69" s="163"/>
      <c r="B69" s="122" t="s">
        <v>214</v>
      </c>
      <c r="C69" s="252">
        <v>161794.44</v>
      </c>
      <c r="D69" s="253">
        <v>169725.54</v>
      </c>
      <c r="E69" s="253">
        <v>152277.12</v>
      </c>
      <c r="F69" s="253">
        <v>133242.48</v>
      </c>
      <c r="G69" s="253">
        <v>174484.2</v>
      </c>
      <c r="H69" s="253">
        <v>203036.16</v>
      </c>
      <c r="I69" s="253">
        <v>196671.44</v>
      </c>
      <c r="J69" s="253">
        <v>236322.94</v>
      </c>
      <c r="K69" s="253">
        <v>218876.28</v>
      </c>
      <c r="L69" s="253">
        <v>174466.6</v>
      </c>
      <c r="M69" s="253">
        <v>155433.88</v>
      </c>
      <c r="N69" s="253">
        <v>134815.1</v>
      </c>
      <c r="O69" s="254">
        <v>2111146.18</v>
      </c>
    </row>
    <row r="70" spans="1:15" ht="12.75">
      <c r="A70" s="164" t="s">
        <v>222</v>
      </c>
      <c r="B70" s="164" t="s">
        <v>259</v>
      </c>
      <c r="C70" s="201">
        <v>18495.48</v>
      </c>
      <c r="D70" s="202">
        <v>18495.48</v>
      </c>
      <c r="E70" s="202">
        <v>20036.77</v>
      </c>
      <c r="F70" s="202">
        <v>13871.61</v>
      </c>
      <c r="G70" s="202">
        <v>16954.19</v>
      </c>
      <c r="H70" s="202">
        <v>21578.059999999998</v>
      </c>
      <c r="I70" s="202">
        <v>13871.61</v>
      </c>
      <c r="J70" s="202">
        <v>23119.35</v>
      </c>
      <c r="K70" s="202">
        <v>23119.35</v>
      </c>
      <c r="L70" s="202">
        <v>18495.48</v>
      </c>
      <c r="M70" s="202">
        <v>20036.77</v>
      </c>
      <c r="N70" s="202">
        <v>9247.74</v>
      </c>
      <c r="O70" s="203">
        <v>217321.88999999998</v>
      </c>
    </row>
    <row r="71" spans="1:15" ht="12.75">
      <c r="A71" s="163"/>
      <c r="B71" s="122" t="s">
        <v>152</v>
      </c>
      <c r="C71" s="252">
        <v>-539.1599999999999</v>
      </c>
      <c r="D71" s="253">
        <v>-539.1599999999999</v>
      </c>
      <c r="E71" s="253">
        <v>-584.0900000000001</v>
      </c>
      <c r="F71" s="253">
        <v>-404.369999999999</v>
      </c>
      <c r="G71" s="253">
        <v>-494.2300000000032</v>
      </c>
      <c r="H71" s="253">
        <v>-629.0200000000041</v>
      </c>
      <c r="I71" s="253">
        <v>-402.9299999999985</v>
      </c>
      <c r="J71" s="253">
        <v>-671.5499999999993</v>
      </c>
      <c r="K71" s="253">
        <v>-671.5499999999993</v>
      </c>
      <c r="L71" s="253">
        <v>-537.2400000000016</v>
      </c>
      <c r="M71" s="253">
        <v>-582.0099999999984</v>
      </c>
      <c r="N71" s="253">
        <v>-268.6200000000008</v>
      </c>
      <c r="O71" s="254">
        <v>-6323.930000000004</v>
      </c>
    </row>
    <row r="72" spans="1:15" ht="12.75">
      <c r="A72" s="163"/>
      <c r="B72" s="122" t="s">
        <v>153</v>
      </c>
      <c r="C72" s="252">
        <v>-24.249347604334947</v>
      </c>
      <c r="D72" s="253">
        <v>-22.849668362402255</v>
      </c>
      <c r="E72" s="253">
        <v>-23.02957660745007</v>
      </c>
      <c r="F72" s="253">
        <v>-14.865041097737913</v>
      </c>
      <c r="G72" s="253">
        <v>-16.804747779984908</v>
      </c>
      <c r="H72" s="253">
        <v>-19.718166489933694</v>
      </c>
      <c r="I72" s="253">
        <v>-11.417858433347051</v>
      </c>
      <c r="J72" s="253">
        <v>-17.19193765307226</v>
      </c>
      <c r="K72" s="253">
        <v>-15.302307775840115</v>
      </c>
      <c r="L72" s="253">
        <v>-10.734920797382895</v>
      </c>
      <c r="M72" s="253">
        <v>-10.15497910555914</v>
      </c>
      <c r="N72" s="253">
        <v>-3.86439950500095</v>
      </c>
      <c r="O72" s="254">
        <v>-190.1829512120462</v>
      </c>
    </row>
    <row r="73" spans="1:15" ht="12.75">
      <c r="A73" s="163"/>
      <c r="B73" s="122" t="s">
        <v>154</v>
      </c>
      <c r="C73" s="252">
        <v>-563.4093476043348</v>
      </c>
      <c r="D73" s="253">
        <v>-562.0096683624021</v>
      </c>
      <c r="E73" s="253">
        <v>-607.1195766074502</v>
      </c>
      <c r="F73" s="253">
        <v>-419.2350410977369</v>
      </c>
      <c r="G73" s="253">
        <v>-511.0347477799881</v>
      </c>
      <c r="H73" s="253">
        <v>-648.7381664899377</v>
      </c>
      <c r="I73" s="253">
        <v>-414.34785843334555</v>
      </c>
      <c r="J73" s="253">
        <v>-688.7419376530715</v>
      </c>
      <c r="K73" s="253">
        <v>-686.8523077758393</v>
      </c>
      <c r="L73" s="253">
        <v>-547.9749207973845</v>
      </c>
      <c r="M73" s="253">
        <v>-592.1649791055576</v>
      </c>
      <c r="N73" s="253">
        <v>-272.48439950500176</v>
      </c>
      <c r="O73" s="254">
        <v>-6514.112951212051</v>
      </c>
    </row>
    <row r="74" spans="1:15" ht="12.75">
      <c r="A74" s="163"/>
      <c r="B74" s="122" t="s">
        <v>214</v>
      </c>
      <c r="C74" s="252">
        <v>19034.64</v>
      </c>
      <c r="D74" s="253">
        <v>19034.64</v>
      </c>
      <c r="E74" s="253">
        <v>20620.86</v>
      </c>
      <c r="F74" s="253">
        <v>14275.98</v>
      </c>
      <c r="G74" s="253">
        <v>17448.420000000002</v>
      </c>
      <c r="H74" s="253">
        <v>22207.08</v>
      </c>
      <c r="I74" s="253">
        <v>14274.539999999999</v>
      </c>
      <c r="J74" s="253">
        <v>23790.899999999998</v>
      </c>
      <c r="K74" s="253">
        <v>23790.899999999998</v>
      </c>
      <c r="L74" s="253">
        <v>19032.72</v>
      </c>
      <c r="M74" s="253">
        <v>20618.78</v>
      </c>
      <c r="N74" s="253">
        <v>9516.36</v>
      </c>
      <c r="O74" s="254">
        <v>223645.82</v>
      </c>
    </row>
    <row r="75" spans="1:15" ht="12.75">
      <c r="A75" s="164" t="s">
        <v>223</v>
      </c>
      <c r="B75" s="164" t="s">
        <v>259</v>
      </c>
      <c r="C75" s="201">
        <v>29284.51</v>
      </c>
      <c r="D75" s="202">
        <v>35449.67</v>
      </c>
      <c r="E75" s="202">
        <v>33908.38</v>
      </c>
      <c r="F75" s="202">
        <v>33908.38</v>
      </c>
      <c r="G75" s="202">
        <v>41614.83</v>
      </c>
      <c r="H75" s="202">
        <v>53945.15</v>
      </c>
      <c r="I75" s="202">
        <v>52403.86</v>
      </c>
      <c r="J75" s="202">
        <v>61651.6</v>
      </c>
      <c r="K75" s="202">
        <v>57027.729999999996</v>
      </c>
      <c r="L75" s="202">
        <v>44697.409999999996</v>
      </c>
      <c r="M75" s="202">
        <v>33908.38</v>
      </c>
      <c r="N75" s="202">
        <v>32367.09</v>
      </c>
      <c r="O75" s="203">
        <v>510166.99</v>
      </c>
    </row>
    <row r="76" spans="1:15" ht="12.75">
      <c r="A76" s="163"/>
      <c r="B76" s="122" t="s">
        <v>152</v>
      </c>
      <c r="C76" s="252">
        <v>-853.6700000000019</v>
      </c>
      <c r="D76" s="253">
        <v>-1033.3899999999994</v>
      </c>
      <c r="E76" s="253">
        <v>-988.4600000000064</v>
      </c>
      <c r="F76" s="253">
        <v>-988.4600000000064</v>
      </c>
      <c r="G76" s="253">
        <v>-1213.1100000000006</v>
      </c>
      <c r="H76" s="253">
        <v>-1572.550000000003</v>
      </c>
      <c r="I76" s="253">
        <v>-1522.1800000000003</v>
      </c>
      <c r="J76" s="253">
        <v>-1790.7999999999956</v>
      </c>
      <c r="K76" s="253">
        <v>-1656.4900000000052</v>
      </c>
      <c r="L76" s="253">
        <v>-1298.3300000000017</v>
      </c>
      <c r="M76" s="253">
        <v>-984.9400000000023</v>
      </c>
      <c r="N76" s="253">
        <v>-940.1700000000019</v>
      </c>
      <c r="O76" s="254">
        <v>-14842.550000000025</v>
      </c>
    </row>
    <row r="77" spans="1:15" ht="12.75">
      <c r="A77" s="163"/>
      <c r="B77" s="122" t="s">
        <v>153</v>
      </c>
      <c r="C77" s="252">
        <v>-38.39480037353042</v>
      </c>
      <c r="D77" s="253">
        <v>-43.79519769460431</v>
      </c>
      <c r="E77" s="253">
        <v>-38.97312964337728</v>
      </c>
      <c r="F77" s="253">
        <v>-36.33676712780412</v>
      </c>
      <c r="G77" s="253">
        <v>-41.248017278144516</v>
      </c>
      <c r="H77" s="253">
        <v>-49.29541622483401</v>
      </c>
      <c r="I77" s="253">
        <v>-43.13413185931125</v>
      </c>
      <c r="J77" s="253">
        <v>-45.8451670748593</v>
      </c>
      <c r="K77" s="253">
        <v>-37.74569251373911</v>
      </c>
      <c r="L77" s="253">
        <v>-25.942725260341955</v>
      </c>
      <c r="M77" s="253">
        <v>-17.185349255561704</v>
      </c>
      <c r="N77" s="253">
        <v>-13.525398267503311</v>
      </c>
      <c r="O77" s="254">
        <v>-431.42179257361136</v>
      </c>
    </row>
    <row r="78" spans="1:15" ht="12.75">
      <c r="A78" s="163"/>
      <c r="B78" s="122" t="s">
        <v>154</v>
      </c>
      <c r="C78" s="252">
        <v>-892.0648003735323</v>
      </c>
      <c r="D78" s="253">
        <v>-1077.1851976946036</v>
      </c>
      <c r="E78" s="253">
        <v>-1027.4331296433836</v>
      </c>
      <c r="F78" s="253">
        <v>-1024.7967671278104</v>
      </c>
      <c r="G78" s="253">
        <v>-1254.358017278145</v>
      </c>
      <c r="H78" s="253">
        <v>-1621.845416224837</v>
      </c>
      <c r="I78" s="253">
        <v>-1565.3141318593116</v>
      </c>
      <c r="J78" s="253">
        <v>-1836.645167074855</v>
      </c>
      <c r="K78" s="253">
        <v>-1694.2356925137444</v>
      </c>
      <c r="L78" s="253">
        <v>-1324.2727252603438</v>
      </c>
      <c r="M78" s="253">
        <v>-1002.1253492555641</v>
      </c>
      <c r="N78" s="253">
        <v>-953.6953982675052</v>
      </c>
      <c r="O78" s="254">
        <v>-15273.971792573637</v>
      </c>
    </row>
    <row r="79" spans="1:15" ht="12.75">
      <c r="A79" s="163"/>
      <c r="B79" s="122" t="s">
        <v>214</v>
      </c>
      <c r="C79" s="252">
        <v>30138.18</v>
      </c>
      <c r="D79" s="253">
        <v>36483.06</v>
      </c>
      <c r="E79" s="253">
        <v>34896.840000000004</v>
      </c>
      <c r="F79" s="253">
        <v>34896.840000000004</v>
      </c>
      <c r="G79" s="253">
        <v>42827.94</v>
      </c>
      <c r="H79" s="253">
        <v>55517.700000000004</v>
      </c>
      <c r="I79" s="253">
        <v>53926.04</v>
      </c>
      <c r="J79" s="253">
        <v>63442.399999999994</v>
      </c>
      <c r="K79" s="253">
        <v>58684.22</v>
      </c>
      <c r="L79" s="253">
        <v>45995.74</v>
      </c>
      <c r="M79" s="253">
        <v>34893.32</v>
      </c>
      <c r="N79" s="253">
        <v>33307.26</v>
      </c>
      <c r="O79" s="254">
        <v>525009.5399999999</v>
      </c>
    </row>
    <row r="80" spans="1:15" ht="12.75">
      <c r="A80" s="164" t="s">
        <v>224</v>
      </c>
      <c r="B80" s="164" t="s">
        <v>259</v>
      </c>
      <c r="C80" s="201">
        <v>75523.20999999999</v>
      </c>
      <c r="D80" s="202">
        <v>70899.34</v>
      </c>
      <c r="E80" s="202">
        <v>69358.05</v>
      </c>
      <c r="F80" s="202">
        <v>60110.31</v>
      </c>
      <c r="G80" s="202">
        <v>72440.63</v>
      </c>
      <c r="H80" s="202">
        <v>84770.95</v>
      </c>
      <c r="I80" s="202">
        <v>81688.37</v>
      </c>
      <c r="J80" s="202">
        <v>89394.81999999999</v>
      </c>
      <c r="K80" s="202">
        <v>86312.23999999999</v>
      </c>
      <c r="L80" s="202">
        <v>72440.63</v>
      </c>
      <c r="M80" s="202">
        <v>66275.47</v>
      </c>
      <c r="N80" s="202">
        <v>57027.729999999996</v>
      </c>
      <c r="O80" s="203">
        <v>886241.7499999999</v>
      </c>
    </row>
    <row r="81" spans="1:15" ht="12.75">
      <c r="A81" s="163"/>
      <c r="B81" s="122" t="s">
        <v>152</v>
      </c>
      <c r="C81" s="252">
        <v>-2201.570000000007</v>
      </c>
      <c r="D81" s="253">
        <v>-2066.779999999999</v>
      </c>
      <c r="E81" s="253">
        <v>-2021.8499999999913</v>
      </c>
      <c r="F81" s="253">
        <v>-1752.270000000004</v>
      </c>
      <c r="G81" s="253">
        <v>-2111.709999999992</v>
      </c>
      <c r="H81" s="253">
        <v>-2471.1500000000087</v>
      </c>
      <c r="I81" s="253">
        <v>-2372.8099999999977</v>
      </c>
      <c r="J81" s="253">
        <v>-2596.6600000000035</v>
      </c>
      <c r="K81" s="253">
        <v>-2507.12000000001</v>
      </c>
      <c r="L81" s="253">
        <v>-2104.189999999988</v>
      </c>
      <c r="M81" s="253">
        <v>-1925.1100000000006</v>
      </c>
      <c r="N81" s="253">
        <v>-1656.4900000000052</v>
      </c>
      <c r="O81" s="254">
        <v>-25787.710000000006</v>
      </c>
    </row>
    <row r="82" spans="1:15" ht="12.75">
      <c r="A82" s="163"/>
      <c r="B82" s="122" t="s">
        <v>153</v>
      </c>
      <c r="C82" s="252">
        <v>-99.01816938436804</v>
      </c>
      <c r="D82" s="253">
        <v>-87.59039538920862</v>
      </c>
      <c r="E82" s="253">
        <v>-79.71776517963448</v>
      </c>
      <c r="F82" s="253">
        <v>-64.41517809019794</v>
      </c>
      <c r="G82" s="253">
        <v>-71.80210415084386</v>
      </c>
      <c r="H82" s="253">
        <v>-77.46422549616787</v>
      </c>
      <c r="I82" s="253">
        <v>-67.23849966304394</v>
      </c>
      <c r="J82" s="253">
        <v>-66.47549225854623</v>
      </c>
      <c r="K82" s="253">
        <v>-57.12861569647005</v>
      </c>
      <c r="L82" s="253">
        <v>-42.045106456415965</v>
      </c>
      <c r="M82" s="253">
        <v>-33.58954627223417</v>
      </c>
      <c r="N82" s="253">
        <v>-23.83046361417253</v>
      </c>
      <c r="O82" s="254">
        <v>-770.3155616513038</v>
      </c>
    </row>
    <row r="83" spans="1:15" ht="12.75">
      <c r="A83" s="163"/>
      <c r="B83" s="122" t="s">
        <v>154</v>
      </c>
      <c r="C83" s="252">
        <v>-2300.588169384375</v>
      </c>
      <c r="D83" s="253">
        <v>-2154.3703953892073</v>
      </c>
      <c r="E83" s="253">
        <v>-2101.567765179626</v>
      </c>
      <c r="F83" s="253">
        <v>-1816.685178090202</v>
      </c>
      <c r="G83" s="253">
        <v>-2183.5121041508355</v>
      </c>
      <c r="H83" s="253">
        <v>-2548.6142254961765</v>
      </c>
      <c r="I83" s="253">
        <v>-2440.0484996630416</v>
      </c>
      <c r="J83" s="253">
        <v>-2663.1354922585497</v>
      </c>
      <c r="K83" s="253">
        <v>-2564.24861569648</v>
      </c>
      <c r="L83" s="253">
        <v>-2146.2351064564036</v>
      </c>
      <c r="M83" s="253">
        <v>-1958.6995462722348</v>
      </c>
      <c r="N83" s="253">
        <v>-1680.3204636141777</v>
      </c>
      <c r="O83" s="254">
        <v>-26558.02556165131</v>
      </c>
    </row>
    <row r="84" spans="1:15" ht="12.75">
      <c r="A84" s="163"/>
      <c r="B84" s="122" t="s">
        <v>214</v>
      </c>
      <c r="C84" s="252">
        <v>77724.78</v>
      </c>
      <c r="D84" s="253">
        <v>72966.12</v>
      </c>
      <c r="E84" s="253">
        <v>71379.9</v>
      </c>
      <c r="F84" s="253">
        <v>61862.58</v>
      </c>
      <c r="G84" s="253">
        <v>74552.34</v>
      </c>
      <c r="H84" s="253">
        <v>87242.1</v>
      </c>
      <c r="I84" s="253">
        <v>84061.18</v>
      </c>
      <c r="J84" s="253">
        <v>91991.48</v>
      </c>
      <c r="K84" s="253">
        <v>88819.36</v>
      </c>
      <c r="L84" s="253">
        <v>74544.81999999999</v>
      </c>
      <c r="M84" s="253">
        <v>68200.58</v>
      </c>
      <c r="N84" s="253">
        <v>58684.22</v>
      </c>
      <c r="O84" s="254">
        <v>912029.4599999998</v>
      </c>
    </row>
    <row r="85" spans="1:15" ht="12.75">
      <c r="A85" s="164" t="s">
        <v>260</v>
      </c>
      <c r="B85" s="119"/>
      <c r="C85" s="201">
        <v>13395351.39</v>
      </c>
      <c r="D85" s="202">
        <v>13104047.58</v>
      </c>
      <c r="E85" s="202">
        <v>12612376.07</v>
      </c>
      <c r="F85" s="202">
        <v>9626897.34</v>
      </c>
      <c r="G85" s="202">
        <v>11835565.91</v>
      </c>
      <c r="H85" s="202">
        <v>13856197.1</v>
      </c>
      <c r="I85" s="202">
        <v>14446511.17</v>
      </c>
      <c r="J85" s="202">
        <v>15189412.950000001</v>
      </c>
      <c r="K85" s="202">
        <v>14454217.62</v>
      </c>
      <c r="L85" s="202">
        <v>12401219.34</v>
      </c>
      <c r="M85" s="202">
        <v>11740005.93</v>
      </c>
      <c r="N85" s="202">
        <v>10977067.38</v>
      </c>
      <c r="O85" s="203">
        <v>153638869.78</v>
      </c>
    </row>
    <row r="86" spans="1:15" ht="12.75">
      <c r="A86" s="164" t="s">
        <v>155</v>
      </c>
      <c r="B86" s="119"/>
      <c r="C86" s="355">
        <v>-390486.63000000064</v>
      </c>
      <c r="D86" s="356">
        <v>-381994.85999999975</v>
      </c>
      <c r="E86" s="356">
        <v>-367662.1900000009</v>
      </c>
      <c r="F86" s="356">
        <v>-280632.78000000113</v>
      </c>
      <c r="G86" s="356">
        <v>-345017.4700000001</v>
      </c>
      <c r="H86" s="356">
        <v>-403920.7000000008</v>
      </c>
      <c r="I86" s="356">
        <v>-419629.21</v>
      </c>
      <c r="J86" s="356">
        <v>-441208.3499999995</v>
      </c>
      <c r="K86" s="356">
        <v>-419853.0599999998</v>
      </c>
      <c r="L86" s="356">
        <v>-360219.4200000001</v>
      </c>
      <c r="M86" s="356">
        <v>-341013.08999999973</v>
      </c>
      <c r="N86" s="356">
        <v>-318851.93999999936</v>
      </c>
      <c r="O86" s="357">
        <v>-4470489.700000002</v>
      </c>
    </row>
    <row r="87" spans="1:15" ht="12.75">
      <c r="A87" s="164" t="s">
        <v>156</v>
      </c>
      <c r="B87" s="119"/>
      <c r="C87" s="355">
        <v>-17562.59000243962</v>
      </c>
      <c r="D87" s="356">
        <v>-16188.990034761986</v>
      </c>
      <c r="E87" s="356">
        <v>-14496.232721443403</v>
      </c>
      <c r="F87" s="356">
        <v>-10316.33852183018</v>
      </c>
      <c r="G87" s="356">
        <v>-11731.241654773026</v>
      </c>
      <c r="H87" s="356">
        <v>-12661.87976746451</v>
      </c>
      <c r="I87" s="356">
        <v>-11891.065232862484</v>
      </c>
      <c r="J87" s="356">
        <v>-11295.103038068473</v>
      </c>
      <c r="K87" s="356">
        <v>-9567.002821455248</v>
      </c>
      <c r="L87" s="356">
        <v>-7197.764394645212</v>
      </c>
      <c r="M87" s="356">
        <v>-5950.036603618778</v>
      </c>
      <c r="N87" s="356">
        <v>-4587.042212436103</v>
      </c>
      <c r="O87" s="357">
        <v>-133445.28700579904</v>
      </c>
    </row>
    <row r="88" spans="1:15" ht="12.75">
      <c r="A88" s="164" t="s">
        <v>157</v>
      </c>
      <c r="B88" s="119"/>
      <c r="C88" s="355">
        <v>-408049.2200024403</v>
      </c>
      <c r="D88" s="356">
        <v>-398183.85003476165</v>
      </c>
      <c r="E88" s="356">
        <v>-382158.4227214441</v>
      </c>
      <c r="F88" s="356">
        <v>-290949.11852183123</v>
      </c>
      <c r="G88" s="356">
        <v>-356748.7116547732</v>
      </c>
      <c r="H88" s="356">
        <v>-416582.5797674653</v>
      </c>
      <c r="I88" s="356">
        <v>-431520.2752328625</v>
      </c>
      <c r="J88" s="356">
        <v>-452503.453038068</v>
      </c>
      <c r="K88" s="356">
        <v>-429420.0628214552</v>
      </c>
      <c r="L88" s="356">
        <v>-367417.1843946454</v>
      </c>
      <c r="M88" s="356">
        <v>-346963.12660361856</v>
      </c>
      <c r="N88" s="356">
        <v>-323438.98221243557</v>
      </c>
      <c r="O88" s="357">
        <v>-4603934.987005801</v>
      </c>
    </row>
    <row r="89" spans="1:15" ht="12.75">
      <c r="A89" s="147" t="s">
        <v>232</v>
      </c>
      <c r="B89" s="165"/>
      <c r="C89" s="272">
        <v>13785838.02</v>
      </c>
      <c r="D89" s="273">
        <v>13486042.439999998</v>
      </c>
      <c r="E89" s="273">
        <v>12980038.26</v>
      </c>
      <c r="F89" s="273">
        <v>9907530.120000001</v>
      </c>
      <c r="G89" s="273">
        <v>12180583.38</v>
      </c>
      <c r="H89" s="273">
        <v>14260117.799999999</v>
      </c>
      <c r="I89" s="273">
        <v>14866140.379999999</v>
      </c>
      <c r="J89" s="273">
        <v>15630621.3</v>
      </c>
      <c r="K89" s="273">
        <v>14874070.680000002</v>
      </c>
      <c r="L89" s="273">
        <v>12761438.760000002</v>
      </c>
      <c r="M89" s="273">
        <v>12081019.020000001</v>
      </c>
      <c r="N89" s="273">
        <v>11295919.319999998</v>
      </c>
      <c r="O89" s="274">
        <v>158109359.48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290" t="s">
        <v>121</v>
      </c>
      <c r="G1" s="291"/>
      <c r="H1" s="292"/>
      <c r="I1" s="130"/>
      <c r="J1" s="131" t="str">
        <f>"True-Up ARR
(CY"&amp;N1&amp;")"</f>
        <v>True-Up ARR
(CY2014)</v>
      </c>
      <c r="K1" s="131" t="str">
        <f>"Projected ARR
(Jul'"&amp;RIGHT(N$1-1,2)&amp;" - Jun'"&amp;RIGHT(N$1,2)&amp;")"</f>
        <v>Projected ARR
(Jul'13 - Jun'14)</v>
      </c>
      <c r="L1" s="277" t="s">
        <v>209</v>
      </c>
      <c r="M1" s="286"/>
      <c r="N1" s="358">
        <v>2014</v>
      </c>
      <c r="O1" s="303" t="s">
        <v>250</v>
      </c>
    </row>
    <row r="2" spans="2:14" ht="12.75">
      <c r="B2" s="5" t="s">
        <v>219</v>
      </c>
      <c r="C2" s="1"/>
      <c r="D2" s="4"/>
      <c r="E2" s="1"/>
      <c r="F2" s="126">
        <v>9</v>
      </c>
      <c r="G2" s="370" t="s">
        <v>254</v>
      </c>
      <c r="H2" s="370"/>
      <c r="I2" s="250" t="s">
        <v>111</v>
      </c>
      <c r="J2" s="359">
        <v>153641678.5028364</v>
      </c>
      <c r="K2" s="359">
        <v>155652292.49945968</v>
      </c>
      <c r="L2" s="330" t="s">
        <v>332</v>
      </c>
      <c r="M2" s="281"/>
      <c r="N2"/>
    </row>
    <row r="3" spans="2:14" ht="12.75">
      <c r="B3" s="5" t="str">
        <f>"for CY"&amp;N1&amp;" SPP Network Transmission Service"</f>
        <v>for CY2014 SPP Network Transmission Service</v>
      </c>
      <c r="C3" s="1"/>
      <c r="D3" s="4"/>
      <c r="E3" s="1"/>
      <c r="F3" s="126"/>
      <c r="G3" s="370" t="str">
        <f>"of CY"&amp;$N$1</f>
        <v>of CY2014</v>
      </c>
      <c r="H3" s="370"/>
      <c r="I3" s="250" t="s">
        <v>119</v>
      </c>
      <c r="J3" s="360">
        <v>1541.29</v>
      </c>
      <c r="K3" s="360">
        <v>1586.22</v>
      </c>
      <c r="L3" s="278" t="str">
        <f>"Inv. Jan-Jun'"&amp;RIGHT(N1,2)</f>
        <v>Inv. Jan-Jun'14</v>
      </c>
      <c r="M3" s="281"/>
      <c r="N3"/>
    </row>
    <row r="4" spans="2:14" ht="12.75">
      <c r="B4" s="112"/>
      <c r="C4" s="1"/>
      <c r="D4" s="4"/>
      <c r="E4" s="1"/>
      <c r="F4" s="126"/>
      <c r="G4" s="16"/>
      <c r="H4" s="16"/>
      <c r="I4" s="284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50"/>
      <c r="J5" s="16"/>
      <c r="K5" s="80"/>
      <c r="L5" s="16"/>
      <c r="M5" s="282"/>
      <c r="N5" s="26"/>
    </row>
    <row r="6" spans="2:31" ht="34.5" thickBot="1">
      <c r="B6" s="5" t="s">
        <v>148</v>
      </c>
      <c r="D6" s="4"/>
      <c r="E6" s="1"/>
      <c r="F6" s="293"/>
      <c r="G6" s="288"/>
      <c r="H6" s="289"/>
      <c r="I6" s="251"/>
      <c r="J6" s="132" t="str">
        <f>J1</f>
        <v>True-Up ARR
(CY2014)</v>
      </c>
      <c r="K6" s="132" t="str">
        <f>"Projected ARR
(Jul'"&amp;RIGHT(N$1,2)&amp;" - Jun'"&amp;RIGHT(N$1+1,2)&amp;")"</f>
        <v>Projected ARR
(Jul'14 - Jun'15)</v>
      </c>
      <c r="L6" s="279"/>
      <c r="M6" s="287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271</v>
      </c>
      <c r="D7" s="4"/>
      <c r="E7" s="1"/>
      <c r="F7" s="126"/>
      <c r="G7" s="371" t="s">
        <v>255</v>
      </c>
      <c r="H7" s="370"/>
      <c r="I7" s="250" t="s">
        <v>111</v>
      </c>
      <c r="J7" s="160">
        <f>+J2</f>
        <v>153641678.5028364</v>
      </c>
      <c r="K7" s="359">
        <v>154431444.9843984</v>
      </c>
      <c r="L7" s="330" t="s">
        <v>333</v>
      </c>
      <c r="M7" s="283"/>
      <c r="N7"/>
      <c r="O7" s="144" t="s">
        <v>1</v>
      </c>
      <c r="P7" s="99"/>
      <c r="V7" s="26"/>
      <c r="W7" s="143" t="s">
        <v>208</v>
      </c>
      <c r="AE7" s="26"/>
    </row>
    <row r="8" spans="2:31" ht="12.75">
      <c r="B8" s="5"/>
      <c r="C8" s="1"/>
      <c r="D8" s="4"/>
      <c r="E8" s="1"/>
      <c r="F8" s="126"/>
      <c r="G8" s="370" t="str">
        <f>"of CY"&amp;$N$1</f>
        <v>of CY2014</v>
      </c>
      <c r="H8" s="370"/>
      <c r="I8" s="250" t="s">
        <v>119</v>
      </c>
      <c r="J8" s="75">
        <f>+J3</f>
        <v>1541.29</v>
      </c>
      <c r="K8" s="360">
        <v>1586.06</v>
      </c>
      <c r="L8" s="280" t="str">
        <f>"Inv. Jul-Dec'"&amp;RIGHT(N1,2)</f>
        <v>Inv. Jul-Dec'14</v>
      </c>
      <c r="M8" s="281"/>
      <c r="N8" s="26"/>
      <c r="O8" s="10">
        <f>DATE(N1,1,1)</f>
        <v>41640</v>
      </c>
      <c r="P8" s="10">
        <f aca="true" t="shared" si="0" ref="P8:U8">DATE(YEAR(O8),MONTH(O8)+3,DAY(O8))</f>
        <v>41730</v>
      </c>
      <c r="Q8" s="10">
        <f t="shared" si="0"/>
        <v>41821</v>
      </c>
      <c r="R8" s="10">
        <f t="shared" si="0"/>
        <v>41913</v>
      </c>
      <c r="S8" s="10">
        <f t="shared" si="0"/>
        <v>42005</v>
      </c>
      <c r="T8" s="10">
        <f t="shared" si="0"/>
        <v>42095</v>
      </c>
      <c r="U8" s="10">
        <f t="shared" si="0"/>
        <v>42186</v>
      </c>
      <c r="V8" s="246">
        <f>DATE(YEAR(U8),MONTH(U8)+3,DAY(U8))</f>
        <v>42278</v>
      </c>
      <c r="W8" s="366" t="str">
        <f>"7/1/"&amp;N1+1</f>
        <v>7/1/2015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305"/>
      <c r="J9" s="306"/>
      <c r="K9" s="307"/>
      <c r="L9" s="308"/>
      <c r="M9" s="281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309"/>
      <c r="J10" s="161"/>
      <c r="K10" s="161"/>
      <c r="L10" s="310"/>
      <c r="M10" s="285"/>
      <c r="N10" s="218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1">
        <f t="shared" si="1"/>
        <v>0.0325</v>
      </c>
      <c r="W10" s="136" t="s">
        <v>3</v>
      </c>
      <c r="X10" s="68"/>
      <c r="Y10" s="71"/>
      <c r="Z10" s="71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2">
        <f t="shared" si="2"/>
        <v>8.904109589041096E-05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7" t="s">
        <v>230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66"/>
      <c r="G13" s="267"/>
      <c r="H13" s="267"/>
      <c r="I13" s="263" t="s">
        <v>228</v>
      </c>
      <c r="J13" s="133">
        <f>SUM(J44:J211)</f>
        <v>36295838.20999999</v>
      </c>
      <c r="K13" s="133">
        <f>SUM(K44:K211)</f>
        <v>37352005.66000003</v>
      </c>
      <c r="L13" s="151">
        <f>SUM(L44:L211)</f>
        <v>-1056167.4500000014</v>
      </c>
      <c r="M13" s="134">
        <f>SUM(M44:M211)</f>
        <v>-31874.483743047218</v>
      </c>
      <c r="N13" s="151">
        <f>SUM(N44:N211)</f>
        <v>-1088041.9337430485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65" t="s">
        <v>229</v>
      </c>
      <c r="J14" s="133">
        <f>SUM(J20:J211)</f>
        <v>153638869.78000015</v>
      </c>
      <c r="K14" s="133">
        <f>SUM(K20:K211)</f>
        <v>158109359.4799999</v>
      </c>
      <c r="L14" s="151">
        <f>SUM(L20:L211)</f>
        <v>-4470489.700000005</v>
      </c>
      <c r="M14" s="134">
        <f>SUM(M20:M211)</f>
        <v>-133445.28700579912</v>
      </c>
      <c r="N14" s="151">
        <f>SUM(N20:N211)</f>
        <v>-4603934.987005803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122</v>
      </c>
      <c r="E15" s="54"/>
      <c r="J15" s="7"/>
      <c r="L15" s="8"/>
      <c r="M15" s="27"/>
      <c r="N15" s="152" t="s">
        <v>145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CY2014 Charge reflects 2014 True-UP Rate x MW</v>
      </c>
      <c r="E16" s="54"/>
      <c r="F16" s="16"/>
      <c r="G16" s="2"/>
      <c r="J16" s="72"/>
      <c r="L16" s="82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241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68" t="s">
        <v>114</v>
      </c>
    </row>
    <row r="19" spans="2:31" ht="38.25" customHeight="1">
      <c r="B19" s="91" t="s">
        <v>220</v>
      </c>
      <c r="C19" s="92" t="s">
        <v>107</v>
      </c>
      <c r="D19" s="92" t="s">
        <v>108</v>
      </c>
      <c r="E19" s="93" t="s">
        <v>0</v>
      </c>
      <c r="F19" s="97" t="s">
        <v>121</v>
      </c>
      <c r="G19" s="94" t="s">
        <v>6</v>
      </c>
      <c r="H19" s="249" t="s">
        <v>212</v>
      </c>
      <c r="I19" s="249" t="s">
        <v>210</v>
      </c>
      <c r="J19" s="269" t="str">
        <f>"True-Up Charge"</f>
        <v>True-Up Charge</v>
      </c>
      <c r="K19" s="269" t="s">
        <v>211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1Q2014</v>
      </c>
      <c r="P19" s="51" t="str">
        <f t="shared" si="4"/>
        <v>2Q2014</v>
      </c>
      <c r="Q19" s="51" t="str">
        <f t="shared" si="4"/>
        <v>3Q2014</v>
      </c>
      <c r="R19" s="51" t="str">
        <f t="shared" si="4"/>
        <v>4Q2014</v>
      </c>
      <c r="S19" s="51" t="str">
        <f t="shared" si="4"/>
        <v>1Q2015</v>
      </c>
      <c r="T19" s="51" t="str">
        <f t="shared" si="4"/>
        <v>2Q2015</v>
      </c>
      <c r="U19" s="51" t="str">
        <f>IF(MONTH(U8)&lt;4,"1Q",IF(MONTH(U8)&lt;7,"2Q",IF(MONTH(U8)&lt;10,"3Q","4Q")))&amp;YEAR(U8)</f>
        <v>3Q2015</v>
      </c>
      <c r="V19" s="105" t="str">
        <f t="shared" si="4"/>
        <v>4Q2015</v>
      </c>
      <c r="W19" s="33" t="str">
        <f aca="true" t="shared" si="5" ref="W19:AD19">+O19</f>
        <v>1Q2014</v>
      </c>
      <c r="X19" s="12" t="str">
        <f t="shared" si="5"/>
        <v>2Q2014</v>
      </c>
      <c r="Y19" s="12" t="str">
        <f t="shared" si="5"/>
        <v>3Q2014</v>
      </c>
      <c r="Z19" s="12" t="str">
        <f t="shared" si="5"/>
        <v>4Q2014</v>
      </c>
      <c r="AA19" s="12" t="str">
        <f t="shared" si="5"/>
        <v>1Q2015</v>
      </c>
      <c r="AB19" s="12" t="str">
        <f t="shared" si="5"/>
        <v>2Q2015</v>
      </c>
      <c r="AC19" s="12" t="str">
        <f t="shared" si="5"/>
        <v>3Q2015</v>
      </c>
      <c r="AD19" s="12" t="str">
        <f t="shared" si="5"/>
        <v>4Q2015</v>
      </c>
      <c r="AE19" s="369"/>
    </row>
    <row r="20" spans="1:31" s="13" customFormat="1" ht="12.75" customHeight="1">
      <c r="A20" s="16">
        <v>1</v>
      </c>
      <c r="B20" s="15">
        <f>DATE($N$1,A20,1)</f>
        <v>41640</v>
      </c>
      <c r="C20" s="361">
        <v>41675</v>
      </c>
      <c r="D20" s="361">
        <f aca="true" t="shared" si="6" ref="D20:D31">IF(WEEKDAY(C20+15)=1,C20+16,IF(WEEKDAY(C20+15)=7,C20+17,(C20+15)))</f>
        <v>41690</v>
      </c>
      <c r="E20" s="118" t="s">
        <v>146</v>
      </c>
      <c r="F20" s="16">
        <v>9</v>
      </c>
      <c r="G20" s="362">
        <v>2868</v>
      </c>
      <c r="H20" s="247">
        <f aca="true" t="shared" si="7" ref="H20:H25">$K$3</f>
        <v>1586.22</v>
      </c>
      <c r="I20" s="247">
        <f aca="true" t="shared" si="8" ref="I20:I51">$J$3</f>
        <v>1541.29</v>
      </c>
      <c r="J20" s="56">
        <f aca="true" t="shared" si="9" ref="J20:J84">+$G20*I20</f>
        <v>4420419.72</v>
      </c>
      <c r="K20" s="57">
        <f aca="true" t="shared" si="10" ref="K20:K33">+$G20*H20</f>
        <v>4549278.96</v>
      </c>
      <c r="L20" s="58">
        <f aca="true" t="shared" si="11" ref="L20:L34">+J20-K20</f>
        <v>-128859.24000000022</v>
      </c>
      <c r="M20" s="55">
        <f aca="true" t="shared" si="12" ref="M20:M25">+AE20</f>
        <v>-5795.594077436063</v>
      </c>
      <c r="N20" s="29">
        <f>SUM(L20:M20)</f>
        <v>-134654.83407743627</v>
      </c>
      <c r="O20" s="16">
        <f aca="true" t="shared" si="13" ref="O20:R31">IF($D20&lt;O$8,O$12,IF($D20&lt;P$8,P$8-$D20,0))</f>
        <v>40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90</v>
      </c>
      <c r="T20" s="16">
        <f t="shared" si="14"/>
        <v>91</v>
      </c>
      <c r="U20" s="16">
        <f t="shared" si="14"/>
        <v>0</v>
      </c>
      <c r="V20" s="106">
        <f>IF(W$8&lt;V$8,0,IF($D20&lt;V$8,V$12,IF($D20&lt;W$8,W$8-$D20,0)))</f>
        <v>0</v>
      </c>
      <c r="W20" s="141">
        <f>$L20*O$11*O20</f>
        <v>-458.9507178082199</v>
      </c>
      <c r="X20" s="63">
        <f>($L20+SUM($W20:W20))*(P$11*P20)</f>
        <v>-1047.8316412271738</v>
      </c>
      <c r="Y20" s="63">
        <f>($L20+SUM($W20:X20))*(Q$11*Q20)</f>
        <v>-1067.929881790456</v>
      </c>
      <c r="Z20" s="63">
        <f>($L20+SUM($W20:Y20))*(R$11*R20)</f>
        <v>-1076.67812931526</v>
      </c>
      <c r="AA20" s="63">
        <f>($L20+SUM($W20:Z20))*(S$11*S20)</f>
        <v>-1061.90025707579</v>
      </c>
      <c r="AB20" s="63">
        <f>($L20+SUM($W20:AA20))*(T$11*T20)</f>
        <v>-1082.3034502191633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5" ref="AE20:AE25">SUM(W20:AD20)</f>
        <v>-5795.594077436063</v>
      </c>
    </row>
    <row r="21" spans="1:33" ht="12.75">
      <c r="A21" s="3">
        <v>2</v>
      </c>
      <c r="B21" s="15">
        <f aca="true" t="shared" si="16" ref="B21:B84">DATE($N$1,A21,1)</f>
        <v>41671</v>
      </c>
      <c r="C21" s="361">
        <v>41703</v>
      </c>
      <c r="D21" s="361">
        <f t="shared" si="6"/>
        <v>41718</v>
      </c>
      <c r="E21" s="70" t="s">
        <v>146</v>
      </c>
      <c r="F21" s="3">
        <v>9</v>
      </c>
      <c r="G21" s="362">
        <v>3033</v>
      </c>
      <c r="H21" s="247">
        <f t="shared" si="7"/>
        <v>1586.22</v>
      </c>
      <c r="I21" s="247">
        <f t="shared" si="8"/>
        <v>1541.29</v>
      </c>
      <c r="J21" s="56">
        <f t="shared" si="9"/>
        <v>4674732.57</v>
      </c>
      <c r="K21" s="57">
        <f t="shared" si="10"/>
        <v>4811005.26</v>
      </c>
      <c r="L21" s="58">
        <f t="shared" si="11"/>
        <v>-136272.68999999948</v>
      </c>
      <c r="M21" s="55">
        <f t="shared" si="12"/>
        <v>-5775.253678597149</v>
      </c>
      <c r="N21" s="29">
        <f>SUM(L21:M21)</f>
        <v>-142047.94367859664</v>
      </c>
      <c r="O21" s="16">
        <f t="shared" si="13"/>
        <v>12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90</v>
      </c>
      <c r="T21" s="16">
        <f t="shared" si="14"/>
        <v>91</v>
      </c>
      <c r="U21" s="16">
        <f t="shared" si="14"/>
        <v>0</v>
      </c>
      <c r="V21" s="106">
        <f aca="true" t="shared" si="17" ref="V21:V79">IF(W$8&lt;V$8,0,IF($D21&lt;V$8,V$12,IF($D21&lt;W$8,W$8-$D21,0)))</f>
        <v>0</v>
      </c>
      <c r="W21" s="141">
        <f aca="true" t="shared" si="18" ref="W21:W31">$L21*O$11*O21</f>
        <v>-145.6064358904104</v>
      </c>
      <c r="X21" s="63">
        <f>($L21+SUM($W21:W21))*(P$11*P21)</f>
        <v>-1105.3619498880666</v>
      </c>
      <c r="Y21" s="63">
        <f>($L21+SUM($W21:X21))*(Q$11*Q21)</f>
        <v>-1126.563667324592</v>
      </c>
      <c r="Z21" s="63">
        <f>($L21+SUM($W21:Y21))*(R$11*R21)</f>
        <v>-1135.792229969251</v>
      </c>
      <c r="AA21" s="63">
        <f>($L21+SUM($W21:Z21))*(S$11*S21)</f>
        <v>-1120.2029911725615</v>
      </c>
      <c r="AB21" s="63">
        <f>($L21+SUM($W21:AA21))*(T$11*T21)</f>
        <v>-1141.7264043522675</v>
      </c>
      <c r="AC21" s="63">
        <f>($L21+SUM($W21:AB21))*(U$11*U21)</f>
        <v>0</v>
      </c>
      <c r="AD21" s="63">
        <f>($L21+SUM($W21:AC21))*(V$11*V21)</f>
        <v>0</v>
      </c>
      <c r="AE21" s="110">
        <f t="shared" si="15"/>
        <v>-5775.253678597149</v>
      </c>
      <c r="AG21" s="304"/>
    </row>
    <row r="22" spans="1:31" ht="12.75">
      <c r="A22" s="3">
        <v>3</v>
      </c>
      <c r="B22" s="15">
        <f t="shared" si="16"/>
        <v>41699</v>
      </c>
      <c r="C22" s="361">
        <v>41733</v>
      </c>
      <c r="D22" s="361">
        <f t="shared" si="6"/>
        <v>41750</v>
      </c>
      <c r="E22" s="70" t="s">
        <v>146</v>
      </c>
      <c r="F22" s="3">
        <v>9</v>
      </c>
      <c r="G22" s="362">
        <v>2881</v>
      </c>
      <c r="H22" s="247">
        <f t="shared" si="7"/>
        <v>1586.22</v>
      </c>
      <c r="I22" s="247">
        <f t="shared" si="8"/>
        <v>1541.29</v>
      </c>
      <c r="J22" s="56">
        <f t="shared" si="9"/>
        <v>4440456.49</v>
      </c>
      <c r="K22" s="57">
        <f t="shared" si="10"/>
        <v>4569899.82</v>
      </c>
      <c r="L22" s="58">
        <f t="shared" si="11"/>
        <v>-129443.33000000007</v>
      </c>
      <c r="M22" s="55">
        <f t="shared" si="12"/>
        <v>-5103.708477389512</v>
      </c>
      <c r="N22" s="29">
        <f>SUM(L22:M22)</f>
        <v>-134547.03847738958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90</v>
      </c>
      <c r="T22" s="16">
        <f t="shared" si="14"/>
        <v>91</v>
      </c>
      <c r="U22" s="16">
        <f t="shared" si="14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-818.3300930821922</v>
      </c>
      <c r="Y22" s="63">
        <f>($L22+SUM($W22:X22))*(Q$11*Q22)</f>
        <v>-1067.0749689816873</v>
      </c>
      <c r="Z22" s="63">
        <f>($L22+SUM($W22:Y22))*(R$11*R22)</f>
        <v>-1075.8162132481402</v>
      </c>
      <c r="AA22" s="63">
        <f>($L22+SUM($W22:Z22))*(S$11*S22)</f>
        <v>-1061.0501711788706</v>
      </c>
      <c r="AB22" s="63">
        <f>($L22+SUM($W22:AA22))*(T$11*T22)</f>
        <v>-1081.437030898622</v>
      </c>
      <c r="AC22" s="63">
        <f>($L22+SUM($W22:AB22))*(U$11*U22)</f>
        <v>0</v>
      </c>
      <c r="AD22" s="63">
        <f>($L22+SUM($W22:AC22))*(V$11*V22)</f>
        <v>0</v>
      </c>
      <c r="AE22" s="110">
        <f t="shared" si="15"/>
        <v>-5103.708477389512</v>
      </c>
    </row>
    <row r="23" spans="1:31" ht="12.75">
      <c r="A23" s="16">
        <v>4</v>
      </c>
      <c r="B23" s="15">
        <f t="shared" si="16"/>
        <v>41730</v>
      </c>
      <c r="C23" s="361">
        <v>41764</v>
      </c>
      <c r="D23" s="361">
        <f t="shared" si="6"/>
        <v>41779</v>
      </c>
      <c r="E23" s="70" t="s">
        <v>146</v>
      </c>
      <c r="F23" s="3">
        <v>9</v>
      </c>
      <c r="G23" s="362">
        <v>2430</v>
      </c>
      <c r="H23" s="247">
        <f t="shared" si="7"/>
        <v>1586.22</v>
      </c>
      <c r="I23" s="247">
        <f t="shared" si="8"/>
        <v>1541.29</v>
      </c>
      <c r="J23" s="56">
        <f t="shared" si="9"/>
        <v>3745334.6999999997</v>
      </c>
      <c r="K23" s="57">
        <f t="shared" si="10"/>
        <v>3854514.6</v>
      </c>
      <c r="L23" s="58">
        <f t="shared" si="11"/>
        <v>-109179.90000000037</v>
      </c>
      <c r="M23" s="55">
        <f t="shared" si="12"/>
        <v>-4013.561096389261</v>
      </c>
      <c r="N23" s="29">
        <f aca="true" t="shared" si="19" ref="N23:N33">SUM(L23:M23)</f>
        <v>-113193.46109638963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90</v>
      </c>
      <c r="T23" s="16">
        <f t="shared" si="14"/>
        <v>91</v>
      </c>
      <c r="U23" s="16">
        <f t="shared" si="14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-408.3029136986315</v>
      </c>
      <c r="Y23" s="63">
        <f>($L23+SUM($W23:X23))*(Q$11*Q23)</f>
        <v>-897.7225389368766</v>
      </c>
      <c r="Z23" s="63">
        <f>($L23+SUM($W23:Y23))*(R$11*R23)</f>
        <v>-905.0764852147432</v>
      </c>
      <c r="AA23" s="63">
        <f>($L23+SUM($W23:Z23))*(S$11*S23)</f>
        <v>-892.6539196389399</v>
      </c>
      <c r="AB23" s="63">
        <f>($L23+SUM($W23:AA23))*(T$11*T23)</f>
        <v>-909.8052389000695</v>
      </c>
      <c r="AC23" s="63">
        <f>($L23+SUM($W23:AB23))*(U$11*U23)</f>
        <v>0</v>
      </c>
      <c r="AD23" s="63">
        <f>($L23+SUM($W23:AC23))*(V$11*V23)</f>
        <v>0</v>
      </c>
      <c r="AE23" s="110">
        <f t="shared" si="15"/>
        <v>-4013.561096389261</v>
      </c>
    </row>
    <row r="24" spans="1:31" ht="12" customHeight="1">
      <c r="A24" s="3">
        <v>5</v>
      </c>
      <c r="B24" s="15">
        <f t="shared" si="16"/>
        <v>41760</v>
      </c>
      <c r="C24" s="361">
        <v>41794</v>
      </c>
      <c r="D24" s="361">
        <f t="shared" si="6"/>
        <v>41809</v>
      </c>
      <c r="E24" s="30" t="s">
        <v>146</v>
      </c>
      <c r="F24" s="3">
        <v>9</v>
      </c>
      <c r="G24" s="362">
        <v>3131</v>
      </c>
      <c r="H24" s="247">
        <f t="shared" si="7"/>
        <v>1586.22</v>
      </c>
      <c r="I24" s="247">
        <f t="shared" si="8"/>
        <v>1541.29</v>
      </c>
      <c r="J24" s="56">
        <f t="shared" si="9"/>
        <v>4825778.99</v>
      </c>
      <c r="K24" s="57">
        <f t="shared" si="10"/>
        <v>4966454.82</v>
      </c>
      <c r="L24" s="58">
        <f t="shared" si="11"/>
        <v>-140675.83000000007</v>
      </c>
      <c r="M24" s="55">
        <f t="shared" si="12"/>
        <v>-4783.242299921129</v>
      </c>
      <c r="N24" s="29">
        <f t="shared" si="19"/>
        <v>-145459.07229992122</v>
      </c>
      <c r="O24" s="16">
        <f t="shared" si="13"/>
        <v>0</v>
      </c>
      <c r="P24" s="16">
        <f t="shared" si="13"/>
        <v>12</v>
      </c>
      <c r="Q24" s="16">
        <f t="shared" si="13"/>
        <v>92</v>
      </c>
      <c r="R24" s="16">
        <f t="shared" si="13"/>
        <v>92</v>
      </c>
      <c r="S24" s="16">
        <f t="shared" si="14"/>
        <v>90</v>
      </c>
      <c r="T24" s="16">
        <f t="shared" si="14"/>
        <v>91</v>
      </c>
      <c r="U24" s="16">
        <f t="shared" si="14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-150.3111608219179</v>
      </c>
      <c r="Y24" s="63">
        <f>($L24+SUM($W24:X24))*(Q$11*Q24)</f>
        <v>-1153.6168823859114</v>
      </c>
      <c r="Z24" s="63">
        <f>($L24+SUM($W24:Y24))*(R$11*R24)</f>
        <v>-1163.067059038881</v>
      </c>
      <c r="AA24" s="63">
        <f>($L24+SUM($W24:Z24))*(S$11*S24)</f>
        <v>-1147.1034614358132</v>
      </c>
      <c r="AB24" s="63">
        <f>($L24+SUM($W24:AA24))*(T$11*T24)</f>
        <v>-1169.1437362386062</v>
      </c>
      <c r="AC24" s="63">
        <f>($L24+SUM($W24:AB24))*(U$11*U24)</f>
        <v>0</v>
      </c>
      <c r="AD24" s="63">
        <f>($L24+SUM($W24:AC24))*(V$11*V24)</f>
        <v>0</v>
      </c>
      <c r="AE24" s="110">
        <f t="shared" si="15"/>
        <v>-4783.242299921129</v>
      </c>
    </row>
    <row r="25" spans="1:31" ht="12.75">
      <c r="A25" s="3">
        <v>6</v>
      </c>
      <c r="B25" s="15">
        <f t="shared" si="16"/>
        <v>41791</v>
      </c>
      <c r="C25" s="361">
        <v>41823</v>
      </c>
      <c r="D25" s="361">
        <f t="shared" si="6"/>
        <v>41838</v>
      </c>
      <c r="E25" s="30" t="s">
        <v>146</v>
      </c>
      <c r="F25" s="3">
        <v>9</v>
      </c>
      <c r="G25" s="362">
        <v>3668</v>
      </c>
      <c r="H25" s="247">
        <f t="shared" si="7"/>
        <v>1586.22</v>
      </c>
      <c r="I25" s="247">
        <f t="shared" si="8"/>
        <v>1541.29</v>
      </c>
      <c r="J25" s="56">
        <f t="shared" si="9"/>
        <v>5653451.72</v>
      </c>
      <c r="K25" s="57">
        <f t="shared" si="10"/>
        <v>5818254.96</v>
      </c>
      <c r="L25" s="77">
        <f t="shared" si="11"/>
        <v>-164803.24000000022</v>
      </c>
      <c r="M25" s="78">
        <f t="shared" si="12"/>
        <v>-5166.159620362601</v>
      </c>
      <c r="N25" s="76">
        <f t="shared" si="19"/>
        <v>-169969.39962036282</v>
      </c>
      <c r="O25" s="16">
        <f t="shared" si="13"/>
        <v>0</v>
      </c>
      <c r="P25" s="16">
        <f t="shared" si="13"/>
        <v>0</v>
      </c>
      <c r="Q25" s="16">
        <f t="shared" si="13"/>
        <v>75</v>
      </c>
      <c r="R25" s="16">
        <f t="shared" si="13"/>
        <v>92</v>
      </c>
      <c r="S25" s="16">
        <f t="shared" si="14"/>
        <v>90</v>
      </c>
      <c r="T25" s="16">
        <f t="shared" si="14"/>
        <v>91</v>
      </c>
      <c r="U25" s="16">
        <f t="shared" si="14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-1100.5695821917823</v>
      </c>
      <c r="Z25" s="63">
        <f>($L25+SUM($W25:Y25))*(R$11*R25)</f>
        <v>-1359.0476456185042</v>
      </c>
      <c r="AA25" s="63">
        <f>($L25+SUM($W25:Z25))*(S$11*S25)</f>
        <v>-1340.3941298393033</v>
      </c>
      <c r="AB25" s="63">
        <f>($L25+SUM($W25:AA25))*(T$11*T25)</f>
        <v>-1366.1482627130117</v>
      </c>
      <c r="AC25" s="63">
        <f>($L25+SUM($W25:AB25))*(U$11*U25)</f>
        <v>0</v>
      </c>
      <c r="AD25" s="63">
        <f>($L25+SUM($W25:AC25))*(V$11*V25)</f>
        <v>0</v>
      </c>
      <c r="AE25" s="110">
        <f t="shared" si="15"/>
        <v>-5166.159620362601</v>
      </c>
    </row>
    <row r="26" spans="1:31" ht="12.75">
      <c r="A26" s="16">
        <v>7</v>
      </c>
      <c r="B26" s="15">
        <f t="shared" si="16"/>
        <v>41821</v>
      </c>
      <c r="C26" s="361">
        <v>41856</v>
      </c>
      <c r="D26" s="361">
        <f t="shared" si="6"/>
        <v>41871</v>
      </c>
      <c r="E26" s="30" t="s">
        <v>146</v>
      </c>
      <c r="F26" s="3">
        <v>9</v>
      </c>
      <c r="G26" s="362">
        <v>3942</v>
      </c>
      <c r="H26" s="247">
        <f aca="true" t="shared" si="20" ref="H26:H31">$K$8</f>
        <v>1586.06</v>
      </c>
      <c r="I26" s="247">
        <f t="shared" si="8"/>
        <v>1541.29</v>
      </c>
      <c r="J26" s="56">
        <f t="shared" si="9"/>
        <v>6075765.18</v>
      </c>
      <c r="K26" s="74">
        <f t="shared" si="10"/>
        <v>6252248.52</v>
      </c>
      <c r="L26" s="77">
        <f t="shared" si="11"/>
        <v>-176483.33999999985</v>
      </c>
      <c r="M26" s="75">
        <f aca="true" t="shared" si="21" ref="M26:M37">+AE26</f>
        <v>-5001.021993806024</v>
      </c>
      <c r="N26" s="76">
        <f t="shared" si="19"/>
        <v>-181484.36199380588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-659.9993399999995</v>
      </c>
      <c r="Z26" s="63">
        <f>($L26+SUM($W26:Y26))*(R$11*R26)</f>
        <v>-1451.119409935889</v>
      </c>
      <c r="AA26" s="63">
        <f>($L26+SUM($W26:Z26))*(S$11*S26)</f>
        <v>-1431.2021694344164</v>
      </c>
      <c r="AB26" s="63">
        <f>($L26+SUM($W26:AA26))*(T$11*T26)</f>
        <v>-1458.7010744357185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-5001.021993806024</v>
      </c>
    </row>
    <row r="27" spans="1:31" ht="12.75">
      <c r="A27" s="3">
        <v>8</v>
      </c>
      <c r="B27" s="15">
        <f t="shared" si="16"/>
        <v>41852</v>
      </c>
      <c r="C27" s="361">
        <v>41886</v>
      </c>
      <c r="D27" s="361">
        <f t="shared" si="6"/>
        <v>41901</v>
      </c>
      <c r="E27" s="30" t="s">
        <v>146</v>
      </c>
      <c r="F27" s="3">
        <v>9</v>
      </c>
      <c r="G27" s="362">
        <v>4069</v>
      </c>
      <c r="H27" s="247">
        <f t="shared" si="20"/>
        <v>1586.06</v>
      </c>
      <c r="I27" s="247">
        <f t="shared" si="8"/>
        <v>1541.29</v>
      </c>
      <c r="J27" s="56">
        <f t="shared" si="9"/>
        <v>6271509.01</v>
      </c>
      <c r="K27" s="74">
        <f t="shared" si="10"/>
        <v>6453678.14</v>
      </c>
      <c r="L27" s="77">
        <f t="shared" si="11"/>
        <v>-182169.1299999999</v>
      </c>
      <c r="M27" s="75">
        <f t="shared" si="21"/>
        <v>-4663.599620690071</v>
      </c>
      <c r="N27" s="76">
        <f t="shared" si="19"/>
        <v>-186832.72962068996</v>
      </c>
      <c r="O27" s="16">
        <f t="shared" si="13"/>
        <v>0</v>
      </c>
      <c r="P27" s="16">
        <f t="shared" si="13"/>
        <v>0</v>
      </c>
      <c r="Q27" s="16">
        <f t="shared" si="13"/>
        <v>12</v>
      </c>
      <c r="R27" s="16">
        <f t="shared" si="13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-194.64646767123276</v>
      </c>
      <c r="Z27" s="63">
        <f>($L27+SUM($W27:Y27))*(R$11*R27)</f>
        <v>-1493.8840866803741</v>
      </c>
      <c r="AA27" s="63">
        <f>($L27+SUM($W27:Z27))*(S$11*S27)</f>
        <v>-1473.3798825245974</v>
      </c>
      <c r="AB27" s="63">
        <f>($L27+SUM($W27:AA27))*(T$11*T27)</f>
        <v>-1501.6891838138658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-4663.599620690071</v>
      </c>
    </row>
    <row r="28" spans="1:31" ht="12.75">
      <c r="A28" s="3">
        <v>9</v>
      </c>
      <c r="B28" s="15">
        <f t="shared" si="16"/>
        <v>41883</v>
      </c>
      <c r="C28" s="361">
        <v>41915</v>
      </c>
      <c r="D28" s="361">
        <f t="shared" si="6"/>
        <v>41932</v>
      </c>
      <c r="E28" s="30" t="s">
        <v>146</v>
      </c>
      <c r="F28" s="3">
        <v>9</v>
      </c>
      <c r="G28" s="362">
        <v>3796</v>
      </c>
      <c r="H28" s="247">
        <f t="shared" si="20"/>
        <v>1586.06</v>
      </c>
      <c r="I28" s="247">
        <f t="shared" si="8"/>
        <v>1541.29</v>
      </c>
      <c r="J28" s="56">
        <f t="shared" si="9"/>
        <v>5850736.84</v>
      </c>
      <c r="K28" s="74">
        <f t="shared" si="10"/>
        <v>6020683.76</v>
      </c>
      <c r="L28" s="77">
        <f t="shared" si="11"/>
        <v>-169946.91999999993</v>
      </c>
      <c r="M28" s="75">
        <f t="shared" si="21"/>
        <v>-3872.5040211392743</v>
      </c>
      <c r="N28" s="76">
        <f t="shared" si="19"/>
        <v>-173819.4240211392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73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-1104.6549799999996</v>
      </c>
      <c r="AA28" s="63">
        <f>($L28+SUM($W28:Z28))*(S$11*S28)</f>
        <v>-1370.7557720999991</v>
      </c>
      <c r="AB28" s="63">
        <f>($L28+SUM($W28:AA28))*(T$11*T28)</f>
        <v>-1397.0932690392754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-3872.5040211392743</v>
      </c>
    </row>
    <row r="29" spans="1:31" ht="12.75">
      <c r="A29" s="16">
        <v>10</v>
      </c>
      <c r="B29" s="15">
        <f t="shared" si="16"/>
        <v>41913</v>
      </c>
      <c r="C29" s="361">
        <v>41948</v>
      </c>
      <c r="D29" s="361">
        <f t="shared" si="6"/>
        <v>41963</v>
      </c>
      <c r="E29" s="30" t="s">
        <v>146</v>
      </c>
      <c r="F29" s="3">
        <v>9</v>
      </c>
      <c r="G29" s="362">
        <v>3321</v>
      </c>
      <c r="H29" s="247">
        <f t="shared" si="20"/>
        <v>1586.06</v>
      </c>
      <c r="I29" s="247">
        <f t="shared" si="8"/>
        <v>1541.29</v>
      </c>
      <c r="J29" s="56">
        <f t="shared" si="9"/>
        <v>5118624.09</v>
      </c>
      <c r="K29" s="74">
        <f t="shared" si="10"/>
        <v>5267305.26</v>
      </c>
      <c r="L29" s="77">
        <f t="shared" si="11"/>
        <v>-148681.16999999993</v>
      </c>
      <c r="M29" s="75">
        <f t="shared" si="21"/>
        <v>-2970.8893306757054</v>
      </c>
      <c r="N29" s="76">
        <f t="shared" si="19"/>
        <v>-151652.05933067563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-556.0268412328764</v>
      </c>
      <c r="AA29" s="63">
        <f>($L29+SUM($W29:Z29))*(S$11*S29)</f>
        <v>-1195.941919892071</v>
      </c>
      <c r="AB29" s="63">
        <f>($L29+SUM($W29:AA29))*(T$11*T29)</f>
        <v>-1218.9205695507583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-2970.8893306757054</v>
      </c>
    </row>
    <row r="30" spans="1:31" ht="12.75">
      <c r="A30" s="3">
        <v>11</v>
      </c>
      <c r="B30" s="15">
        <f t="shared" si="16"/>
        <v>41944</v>
      </c>
      <c r="C30" s="361">
        <v>41976</v>
      </c>
      <c r="D30" s="361">
        <f t="shared" si="6"/>
        <v>41991</v>
      </c>
      <c r="E30" s="30" t="s">
        <v>146</v>
      </c>
      <c r="F30" s="3">
        <v>9</v>
      </c>
      <c r="G30" s="362">
        <v>2658</v>
      </c>
      <c r="H30" s="247">
        <f t="shared" si="20"/>
        <v>1586.06</v>
      </c>
      <c r="I30" s="247">
        <f t="shared" si="8"/>
        <v>1541.29</v>
      </c>
      <c r="J30" s="56">
        <f t="shared" si="9"/>
        <v>4096748.82</v>
      </c>
      <c r="K30" s="74">
        <f t="shared" si="10"/>
        <v>4215747.4799999995</v>
      </c>
      <c r="L30" s="77">
        <f t="shared" si="11"/>
        <v>-118998.65999999968</v>
      </c>
      <c r="M30" s="75">
        <f t="shared" si="21"/>
        <v>-2076.302650967399</v>
      </c>
      <c r="N30" s="76">
        <f t="shared" si="19"/>
        <v>-121074.96265096708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14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-148.34079534246536</v>
      </c>
      <c r="AA30" s="63">
        <f>($L30+SUM($W30:Z30))*(S$11*S30)</f>
        <v>-954.8081570585637</v>
      </c>
      <c r="AB30" s="63">
        <f>($L30+SUM($W30:AA30))*(T$11*T30)</f>
        <v>-973.1536985663702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-2076.302650967399</v>
      </c>
    </row>
    <row r="31" spans="1:31" ht="12.75">
      <c r="A31" s="3">
        <v>12</v>
      </c>
      <c r="B31" s="15">
        <f t="shared" si="16"/>
        <v>41974</v>
      </c>
      <c r="C31" s="361">
        <v>42010</v>
      </c>
      <c r="D31" s="361">
        <f t="shared" si="6"/>
        <v>42025</v>
      </c>
      <c r="E31" s="30" t="s">
        <v>146</v>
      </c>
      <c r="F31" s="3">
        <v>9</v>
      </c>
      <c r="G31" s="363">
        <v>2678</v>
      </c>
      <c r="H31" s="248">
        <f t="shared" si="20"/>
        <v>1586.06</v>
      </c>
      <c r="I31" s="248">
        <f t="shared" si="8"/>
        <v>1541.29</v>
      </c>
      <c r="J31" s="85">
        <f t="shared" si="9"/>
        <v>4127574.62</v>
      </c>
      <c r="K31" s="86">
        <f t="shared" si="10"/>
        <v>4247468.68</v>
      </c>
      <c r="L31" s="87">
        <f t="shared" si="11"/>
        <v>-119894.05999999959</v>
      </c>
      <c r="M31" s="88">
        <f t="shared" si="21"/>
        <v>-1724.8103123987462</v>
      </c>
      <c r="N31" s="89">
        <f t="shared" si="19"/>
        <v>-121618.87031239834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22"/>
        <v>70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-747.2848945205454</v>
      </c>
      <c r="AB31" s="63">
        <f>($L31+SUM($W31:AA31))*(T$11*T31)</f>
        <v>-977.5254178782009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-1724.8103123987462</v>
      </c>
    </row>
    <row r="32" spans="1:31" ht="12.75">
      <c r="A32" s="16">
        <v>1</v>
      </c>
      <c r="B32" s="153">
        <f t="shared" si="16"/>
        <v>41640</v>
      </c>
      <c r="C32" s="242">
        <f aca="true" t="shared" si="24" ref="C32:D51">+C20</f>
        <v>41675</v>
      </c>
      <c r="D32" s="242">
        <f t="shared" si="24"/>
        <v>41690</v>
      </c>
      <c r="E32" s="154" t="s">
        <v>147</v>
      </c>
      <c r="F32" s="155">
        <v>9</v>
      </c>
      <c r="G32" s="364">
        <v>3425</v>
      </c>
      <c r="H32" s="247">
        <f aca="true" t="shared" si="25" ref="H32:H37">$K$3</f>
        <v>1586.22</v>
      </c>
      <c r="I32" s="247">
        <f t="shared" si="8"/>
        <v>1541.29</v>
      </c>
      <c r="J32" s="56">
        <f t="shared" si="9"/>
        <v>5278918.25</v>
      </c>
      <c r="K32" s="57">
        <f t="shared" si="10"/>
        <v>5432803.5</v>
      </c>
      <c r="L32" s="58">
        <f t="shared" si="11"/>
        <v>-153885.25</v>
      </c>
      <c r="M32" s="55">
        <f t="shared" si="21"/>
        <v>-6921.167962070601</v>
      </c>
      <c r="N32" s="29">
        <f t="shared" si="19"/>
        <v>-160806.4179620706</v>
      </c>
      <c r="O32" s="155">
        <f aca="true" t="shared" si="26" ref="O32:O67">IF($D32&lt;O$8,O$12,IF($D32&lt;P$8,P$8-$D32,0))</f>
        <v>40</v>
      </c>
      <c r="P32" s="155">
        <f aca="true" t="shared" si="27" ref="P32:P67">IF($D32&lt;P$8,P$12,IF($D32&lt;Q$8,Q$8-$D32,0))</f>
        <v>91</v>
      </c>
      <c r="Q32" s="155">
        <f aca="true" t="shared" si="28" ref="Q32:Q67">IF($D32&lt;Q$8,Q$12,IF($D32&lt;R$8,R$8-$D32,0))</f>
        <v>92</v>
      </c>
      <c r="R32" s="155">
        <f aca="true" t="shared" si="29" ref="R32:U47">IF($D32&lt;R$8,R$12,IF($D32&lt;S$8,S$8-$D32,0))</f>
        <v>92</v>
      </c>
      <c r="S32" s="155">
        <f t="shared" si="29"/>
        <v>90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-548.0844520547945</v>
      </c>
      <c r="X32" s="159">
        <f>($L32+SUM($W32:W32))*(P$11*P32)</f>
        <v>-1251.3331140875398</v>
      </c>
      <c r="Y32" s="159">
        <f>($L32+SUM($W32:X32))*(Q$11*Q32)</f>
        <v>-1275.3346740349741</v>
      </c>
      <c r="Z32" s="159">
        <f>($L32+SUM($W32:Y32))*(R$11*R32)</f>
        <v>-1285.7819361592606</v>
      </c>
      <c r="AA32" s="159">
        <f>($L32+SUM($W32:Z32))*(S$11*S32)</f>
        <v>-1268.1340238788614</v>
      </c>
      <c r="AB32" s="159">
        <f>($L32+SUM($W32:AA32))*(T$11*T32)</f>
        <v>-1292.4997618551704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-6921.167962070601</v>
      </c>
    </row>
    <row r="33" spans="1:31" ht="12.75">
      <c r="A33" s="3">
        <v>2</v>
      </c>
      <c r="B33" s="15">
        <f t="shared" si="16"/>
        <v>41671</v>
      </c>
      <c r="C33" s="243">
        <f t="shared" si="24"/>
        <v>41703</v>
      </c>
      <c r="D33" s="243">
        <f t="shared" si="24"/>
        <v>41718</v>
      </c>
      <c r="E33" s="70" t="s">
        <v>147</v>
      </c>
      <c r="F33" s="3">
        <v>9</v>
      </c>
      <c r="G33" s="364">
        <v>3203</v>
      </c>
      <c r="H33" s="247">
        <f t="shared" si="25"/>
        <v>1586.22</v>
      </c>
      <c r="I33" s="247">
        <f t="shared" si="8"/>
        <v>1541.29</v>
      </c>
      <c r="J33" s="56">
        <f t="shared" si="9"/>
        <v>4936751.87</v>
      </c>
      <c r="K33" s="57">
        <f t="shared" si="10"/>
        <v>5080662.66</v>
      </c>
      <c r="L33" s="58">
        <f t="shared" si="11"/>
        <v>-143910.79000000004</v>
      </c>
      <c r="M33" s="55">
        <f t="shared" si="21"/>
        <v>-6098.957313731204</v>
      </c>
      <c r="N33" s="29">
        <f t="shared" si="19"/>
        <v>-150009.74731373123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-153.76769342465758</v>
      </c>
      <c r="X33" s="63">
        <f>($L33+SUM($W33:W33))*(P$11*P33)</f>
        <v>-1167.3176147350782</v>
      </c>
      <c r="Y33" s="63">
        <f>($L33+SUM($W33:X33))*(Q$11*Q33)</f>
        <v>-1189.7076908805416</v>
      </c>
      <c r="Z33" s="63">
        <f>($L33+SUM($W33:Y33))*(R$11*R33)</f>
        <v>-1199.453515526385</v>
      </c>
      <c r="AA33" s="63">
        <f>($L33+SUM($W33:Z33))*(S$11*S33)</f>
        <v>-1182.990498096185</v>
      </c>
      <c r="AB33" s="63">
        <f>($L33+SUM($W33:AA33))*(T$11*T33)</f>
        <v>-1205.7203010683575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-6098.957313731204</v>
      </c>
    </row>
    <row r="34" spans="1:31" ht="12.75">
      <c r="A34" s="3">
        <v>3</v>
      </c>
      <c r="B34" s="15">
        <f t="shared" si="16"/>
        <v>41699</v>
      </c>
      <c r="C34" s="243">
        <f t="shared" si="24"/>
        <v>41733</v>
      </c>
      <c r="D34" s="243">
        <f t="shared" si="24"/>
        <v>41750</v>
      </c>
      <c r="E34" s="70" t="s">
        <v>147</v>
      </c>
      <c r="F34" s="3">
        <v>9</v>
      </c>
      <c r="G34" s="364">
        <v>3160</v>
      </c>
      <c r="H34" s="247">
        <f t="shared" si="25"/>
        <v>1586.22</v>
      </c>
      <c r="I34" s="247">
        <f t="shared" si="8"/>
        <v>1541.29</v>
      </c>
      <c r="J34" s="56">
        <f t="shared" si="9"/>
        <v>4870476.399999999</v>
      </c>
      <c r="K34" s="57">
        <f aca="true" t="shared" si="32" ref="K34:K69">+$G34*H34</f>
        <v>5012455.2</v>
      </c>
      <c r="L34" s="58">
        <f t="shared" si="11"/>
        <v>-141978.80000000075</v>
      </c>
      <c r="M34" s="55">
        <f t="shared" si="21"/>
        <v>-5597.958621503275</v>
      </c>
      <c r="N34" s="29">
        <f>SUM(L34:M34)</f>
        <v>-147576.758621504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-897.5783041095938</v>
      </c>
      <c r="Y34" s="63">
        <f>($L34+SUM($W34:X34))*(Q$11*Q34)</f>
        <v>-1170.4119756966845</v>
      </c>
      <c r="Z34" s="63">
        <f>($L34+SUM($W34:Y34))*(R$11*R34)</f>
        <v>-1179.9997340729396</v>
      </c>
      <c r="AA34" s="63">
        <f>($L34+SUM($W34:Z34))*(S$11*S34)</f>
        <v>-1163.8037281934216</v>
      </c>
      <c r="AB34" s="63">
        <f>($L34+SUM($W34:AA34))*(T$11*T34)</f>
        <v>-1186.164879430636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-5597.958621503275</v>
      </c>
    </row>
    <row r="35" spans="1:31" ht="12.75">
      <c r="A35" s="16">
        <v>4</v>
      </c>
      <c r="B35" s="15">
        <f t="shared" si="16"/>
        <v>41730</v>
      </c>
      <c r="C35" s="243">
        <f t="shared" si="24"/>
        <v>41764</v>
      </c>
      <c r="D35" s="243">
        <f t="shared" si="24"/>
        <v>41779</v>
      </c>
      <c r="E35" s="70" t="s">
        <v>147</v>
      </c>
      <c r="F35" s="3">
        <v>9</v>
      </c>
      <c r="G35" s="364">
        <v>2517</v>
      </c>
      <c r="H35" s="247">
        <f t="shared" si="25"/>
        <v>1586.22</v>
      </c>
      <c r="I35" s="247">
        <f t="shared" si="8"/>
        <v>1541.29</v>
      </c>
      <c r="J35" s="56">
        <f t="shared" si="9"/>
        <v>3879426.9299999997</v>
      </c>
      <c r="K35" s="57">
        <f t="shared" si="32"/>
        <v>3992515.74</v>
      </c>
      <c r="L35" s="58">
        <f aca="true" t="shared" si="34" ref="L35:L45">+J35-K35</f>
        <v>-113088.81000000052</v>
      </c>
      <c r="M35" s="55">
        <f t="shared" si="21"/>
        <v>-4157.2564936674</v>
      </c>
      <c r="N35" s="29">
        <f aca="true" t="shared" si="35" ref="N35:N45">SUM(L35:M35)</f>
        <v>-117246.06649366792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-422.9211661643855</v>
      </c>
      <c r="Y35" s="63">
        <f>($L35+SUM($W35:X35))*(Q$11*Q35)</f>
        <v>-929.8632224296795</v>
      </c>
      <c r="Z35" s="63">
        <f>($L35+SUM($W35:Y35))*(R$11*R35)</f>
        <v>-937.4804581421857</v>
      </c>
      <c r="AA35" s="63">
        <f>($L35+SUM($W35:Z35))*(S$11*S35)</f>
        <v>-924.6131340457672</v>
      </c>
      <c r="AB35" s="63">
        <f>($L35+SUM($W35:AA35))*(T$11*T35)</f>
        <v>-942.3785128853818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-4157.2564936674</v>
      </c>
    </row>
    <row r="36" spans="1:31" ht="12.75">
      <c r="A36" s="3">
        <v>5</v>
      </c>
      <c r="B36" s="15">
        <f t="shared" si="16"/>
        <v>41760</v>
      </c>
      <c r="C36" s="243">
        <f t="shared" si="24"/>
        <v>41794</v>
      </c>
      <c r="D36" s="243">
        <f t="shared" si="24"/>
        <v>41809</v>
      </c>
      <c r="E36" s="30" t="s">
        <v>147</v>
      </c>
      <c r="F36" s="3">
        <v>9</v>
      </c>
      <c r="G36" s="364">
        <v>2881</v>
      </c>
      <c r="H36" s="247">
        <f t="shared" si="25"/>
        <v>1586.22</v>
      </c>
      <c r="I36" s="247">
        <f t="shared" si="8"/>
        <v>1541.29</v>
      </c>
      <c r="J36" s="56">
        <f t="shared" si="9"/>
        <v>4440456.49</v>
      </c>
      <c r="K36" s="57">
        <f t="shared" si="32"/>
        <v>4569899.82</v>
      </c>
      <c r="L36" s="58">
        <f t="shared" si="34"/>
        <v>-129443.33000000007</v>
      </c>
      <c r="M36" s="55">
        <f t="shared" si="21"/>
        <v>-4401.316214012384</v>
      </c>
      <c r="N36" s="29">
        <f t="shared" si="35"/>
        <v>-133844.64621401246</v>
      </c>
      <c r="O36" s="16">
        <f t="shared" si="26"/>
        <v>0</v>
      </c>
      <c r="P36" s="16">
        <f t="shared" si="27"/>
        <v>12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-138.3093115068494</v>
      </c>
      <c r="Y36" s="63">
        <f>($L36+SUM($W36:X36))*(Q$11*Q36)</f>
        <v>-1061.504387784673</v>
      </c>
      <c r="Z36" s="63">
        <f>($L36+SUM($W36:Y36))*(R$11*R36)</f>
        <v>-1070.1999990709091</v>
      </c>
      <c r="AA36" s="63">
        <f>($L36+SUM($W36:Z36))*(S$11*S36)</f>
        <v>-1055.5110419663295</v>
      </c>
      <c r="AB36" s="63">
        <f>($L36+SUM($W36:AA36))*(T$11*T36)</f>
        <v>-1075.7914736836233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-4401.316214012384</v>
      </c>
    </row>
    <row r="37" spans="1:31" ht="12.75">
      <c r="A37" s="3">
        <v>6</v>
      </c>
      <c r="B37" s="15">
        <f t="shared" si="16"/>
        <v>41791</v>
      </c>
      <c r="C37" s="243">
        <f t="shared" si="24"/>
        <v>41823</v>
      </c>
      <c r="D37" s="243">
        <f t="shared" si="24"/>
        <v>41838</v>
      </c>
      <c r="E37" s="30" t="s">
        <v>147</v>
      </c>
      <c r="F37" s="3">
        <v>9</v>
      </c>
      <c r="G37" s="364">
        <v>3352</v>
      </c>
      <c r="H37" s="247">
        <f t="shared" si="25"/>
        <v>1586.22</v>
      </c>
      <c r="I37" s="247">
        <f t="shared" si="8"/>
        <v>1541.29</v>
      </c>
      <c r="J37" s="56">
        <f t="shared" si="9"/>
        <v>5166404.08</v>
      </c>
      <c r="K37" s="57">
        <f t="shared" si="32"/>
        <v>5317009.44</v>
      </c>
      <c r="L37" s="77">
        <f t="shared" si="34"/>
        <v>-150605.36000000034</v>
      </c>
      <c r="M37" s="78">
        <f t="shared" si="21"/>
        <v>-4721.092433875533</v>
      </c>
      <c r="N37" s="76">
        <f t="shared" si="35"/>
        <v>-155326.45243387588</v>
      </c>
      <c r="O37" s="16">
        <f t="shared" si="26"/>
        <v>0</v>
      </c>
      <c r="P37" s="16">
        <f t="shared" si="27"/>
        <v>0</v>
      </c>
      <c r="Q37" s="16">
        <f t="shared" si="28"/>
        <v>75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-1005.754972602742</v>
      </c>
      <c r="Z37" s="63">
        <f>($L37+SUM($W37:Y37))*(R$11*R37)</f>
        <v>-1241.9650240221456</v>
      </c>
      <c r="AA37" s="63">
        <f>($L37+SUM($W37:Z37))*(S$11*S37)</f>
        <v>-1224.9185177811746</v>
      </c>
      <c r="AB37" s="63">
        <f>($L37+SUM($W37:AA37))*(T$11*T37)</f>
        <v>-1248.453919469471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-4721.092433875533</v>
      </c>
    </row>
    <row r="38" spans="1:31" ht="12.75">
      <c r="A38" s="16">
        <v>7</v>
      </c>
      <c r="B38" s="15">
        <f t="shared" si="16"/>
        <v>41821</v>
      </c>
      <c r="C38" s="243">
        <f t="shared" si="24"/>
        <v>41856</v>
      </c>
      <c r="D38" s="243">
        <f t="shared" si="24"/>
        <v>41871</v>
      </c>
      <c r="E38" s="30" t="s">
        <v>147</v>
      </c>
      <c r="F38" s="3">
        <v>9</v>
      </c>
      <c r="G38" s="364">
        <v>3391</v>
      </c>
      <c r="H38" s="247">
        <f aca="true" t="shared" si="36" ref="H38:H43">$K$8</f>
        <v>1586.06</v>
      </c>
      <c r="I38" s="247">
        <f t="shared" si="8"/>
        <v>1541.29</v>
      </c>
      <c r="J38" s="56">
        <f t="shared" si="9"/>
        <v>5226514.39</v>
      </c>
      <c r="K38" s="74">
        <f t="shared" si="32"/>
        <v>5378329.46</v>
      </c>
      <c r="L38" s="77">
        <f t="shared" si="34"/>
        <v>-151815.0700000003</v>
      </c>
      <c r="M38" s="75">
        <f aca="true" t="shared" si="37" ref="M38:M73">+AE38</f>
        <v>-4301.995327497786</v>
      </c>
      <c r="N38" s="76">
        <f t="shared" si="35"/>
        <v>-156117.06532749807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-567.7467686301381</v>
      </c>
      <c r="Z38" s="63">
        <f>($L38+SUM($W38:Y38))*(R$11*R38)</f>
        <v>-1248.2866359950822</v>
      </c>
      <c r="AA38" s="63">
        <f>($L38+SUM($W38:Z38))*(S$11*S38)</f>
        <v>-1231.1533629000812</v>
      </c>
      <c r="AB38" s="63">
        <f>($L38+SUM($W38:AA38))*(T$11*T38)</f>
        <v>-1254.8085599724848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-4301.995327497786</v>
      </c>
    </row>
    <row r="39" spans="1:31" ht="12.75">
      <c r="A39" s="3">
        <v>8</v>
      </c>
      <c r="B39" s="15">
        <f t="shared" si="16"/>
        <v>41852</v>
      </c>
      <c r="C39" s="243">
        <f t="shared" si="24"/>
        <v>41886</v>
      </c>
      <c r="D39" s="243">
        <f t="shared" si="24"/>
        <v>41901</v>
      </c>
      <c r="E39" s="30" t="s">
        <v>147</v>
      </c>
      <c r="F39" s="3">
        <v>9</v>
      </c>
      <c r="G39" s="364">
        <v>3632</v>
      </c>
      <c r="H39" s="247">
        <f t="shared" si="36"/>
        <v>1586.06</v>
      </c>
      <c r="I39" s="247">
        <f t="shared" si="8"/>
        <v>1541.29</v>
      </c>
      <c r="J39" s="56">
        <f t="shared" si="9"/>
        <v>5597965.28</v>
      </c>
      <c r="K39" s="74">
        <f t="shared" si="32"/>
        <v>5760569.92</v>
      </c>
      <c r="L39" s="77">
        <f t="shared" si="34"/>
        <v>-162604.63999999966</v>
      </c>
      <c r="M39" s="75">
        <f t="shared" si="37"/>
        <v>-4162.741170397225</v>
      </c>
      <c r="N39" s="76">
        <f t="shared" si="35"/>
        <v>-166767.3811703969</v>
      </c>
      <c r="O39" s="16">
        <f t="shared" si="26"/>
        <v>0</v>
      </c>
      <c r="P39" s="16">
        <f t="shared" si="27"/>
        <v>0</v>
      </c>
      <c r="Q39" s="16">
        <f t="shared" si="28"/>
        <v>12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-173.7419441095887</v>
      </c>
      <c r="Z39" s="63">
        <f>($L39+SUM($W39:Y39))*(R$11*R39)</f>
        <v>-1333.444827432566</v>
      </c>
      <c r="AA39" s="63">
        <f>($L39+SUM($W39:Z39))*(S$11*S39)</f>
        <v>-1315.142721388383</v>
      </c>
      <c r="AB39" s="63">
        <f>($L39+SUM($W39:AA39))*(T$11*T39)</f>
        <v>-1340.4116774666877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-4162.741170397225</v>
      </c>
    </row>
    <row r="40" spans="1:31" ht="12.75">
      <c r="A40" s="3">
        <v>9</v>
      </c>
      <c r="B40" s="15">
        <f t="shared" si="16"/>
        <v>41883</v>
      </c>
      <c r="C40" s="243">
        <f t="shared" si="24"/>
        <v>41915</v>
      </c>
      <c r="D40" s="243">
        <f t="shared" si="24"/>
        <v>41932</v>
      </c>
      <c r="E40" s="30" t="s">
        <v>147</v>
      </c>
      <c r="F40" s="3">
        <v>9</v>
      </c>
      <c r="G40" s="364">
        <v>3469</v>
      </c>
      <c r="H40" s="247">
        <f t="shared" si="36"/>
        <v>1586.06</v>
      </c>
      <c r="I40" s="247">
        <f t="shared" si="8"/>
        <v>1541.29</v>
      </c>
      <c r="J40" s="56">
        <f t="shared" si="9"/>
        <v>5346735.01</v>
      </c>
      <c r="K40" s="74">
        <f t="shared" si="32"/>
        <v>5502042.14</v>
      </c>
      <c r="L40" s="77">
        <f t="shared" si="34"/>
        <v>-155307.1299999999</v>
      </c>
      <c r="M40" s="75">
        <f t="shared" si="37"/>
        <v>-3538.9137116259585</v>
      </c>
      <c r="N40" s="76">
        <f t="shared" si="35"/>
        <v>-158846.04371162585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-1009.4963449999992</v>
      </c>
      <c r="AA40" s="63">
        <f>($L40+SUM($W40:Z40))*(S$11*S40)</f>
        <v>-1252.6743344085605</v>
      </c>
      <c r="AB40" s="63">
        <f>($L40+SUM($W40:AA40))*(T$11*T40)</f>
        <v>-1276.7430322173986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-3538.9137116259585</v>
      </c>
    </row>
    <row r="41" spans="1:31" ht="12.75">
      <c r="A41" s="16">
        <v>10</v>
      </c>
      <c r="B41" s="15">
        <f t="shared" si="16"/>
        <v>41913</v>
      </c>
      <c r="C41" s="243">
        <f t="shared" si="24"/>
        <v>41948</v>
      </c>
      <c r="D41" s="243">
        <f t="shared" si="24"/>
        <v>41963</v>
      </c>
      <c r="E41" s="30" t="s">
        <v>147</v>
      </c>
      <c r="F41" s="3">
        <v>9</v>
      </c>
      <c r="G41" s="364">
        <v>3037</v>
      </c>
      <c r="H41" s="247">
        <f t="shared" si="36"/>
        <v>1586.06</v>
      </c>
      <c r="I41" s="247">
        <f t="shared" si="8"/>
        <v>1541.29</v>
      </c>
      <c r="J41" s="56">
        <f t="shared" si="9"/>
        <v>4680897.7299999995</v>
      </c>
      <c r="K41" s="74">
        <f t="shared" si="32"/>
        <v>4816864.22</v>
      </c>
      <c r="L41" s="77">
        <f t="shared" si="34"/>
        <v>-135966.49000000022</v>
      </c>
      <c r="M41" s="75">
        <f t="shared" si="37"/>
        <v>-2716.829538470984</v>
      </c>
      <c r="N41" s="76">
        <f t="shared" si="35"/>
        <v>-138683.3195384712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-508.47742150685013</v>
      </c>
      <c r="AA41" s="63">
        <f>($L41+SUM($W41:Z41))*(S$11*S41)</f>
        <v>-1093.669259473721</v>
      </c>
      <c r="AB41" s="63">
        <f>($L41+SUM($W41:AA41))*(T$11*T41)</f>
        <v>-1114.682857490413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-2716.829538470984</v>
      </c>
    </row>
    <row r="42" spans="1:31" ht="12.75">
      <c r="A42" s="3">
        <v>11</v>
      </c>
      <c r="B42" s="15">
        <f t="shared" si="16"/>
        <v>41944</v>
      </c>
      <c r="C42" s="243">
        <f t="shared" si="24"/>
        <v>41976</v>
      </c>
      <c r="D42" s="243">
        <f t="shared" si="24"/>
        <v>41991</v>
      </c>
      <c r="E42" s="30" t="s">
        <v>147</v>
      </c>
      <c r="F42" s="3">
        <v>9</v>
      </c>
      <c r="G42" s="364">
        <v>2954</v>
      </c>
      <c r="H42" s="247">
        <f t="shared" si="36"/>
        <v>1586.06</v>
      </c>
      <c r="I42" s="247">
        <f t="shared" si="8"/>
        <v>1541.29</v>
      </c>
      <c r="J42" s="56">
        <f t="shared" si="9"/>
        <v>4552970.66</v>
      </c>
      <c r="K42" s="74">
        <f t="shared" si="32"/>
        <v>4685221.24</v>
      </c>
      <c r="L42" s="77">
        <f t="shared" si="34"/>
        <v>-132250.58000000007</v>
      </c>
      <c r="M42" s="75">
        <f t="shared" si="37"/>
        <v>-2307.523713678599</v>
      </c>
      <c r="N42" s="76">
        <f t="shared" si="35"/>
        <v>-134558.10371367866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-164.8603120547946</v>
      </c>
      <c r="AA42" s="63">
        <f>($L42+SUM($W42:Z42))*(S$11*S42)</f>
        <v>-1061.1374326377</v>
      </c>
      <c r="AB42" s="63">
        <f>($L42+SUM($W42:AA42))*(T$11*T42)</f>
        <v>-1081.5259689861048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-2307.523713678599</v>
      </c>
    </row>
    <row r="43" spans="1:31" ht="12.75">
      <c r="A43" s="3">
        <v>12</v>
      </c>
      <c r="B43" s="15">
        <f t="shared" si="16"/>
        <v>41974</v>
      </c>
      <c r="C43" s="243">
        <f t="shared" si="24"/>
        <v>42010</v>
      </c>
      <c r="D43" s="243">
        <f t="shared" si="24"/>
        <v>42025</v>
      </c>
      <c r="E43" s="30" t="s">
        <v>147</v>
      </c>
      <c r="F43" s="3">
        <v>9</v>
      </c>
      <c r="G43" s="365">
        <v>2637</v>
      </c>
      <c r="H43" s="248">
        <f t="shared" si="36"/>
        <v>1586.06</v>
      </c>
      <c r="I43" s="248">
        <f t="shared" si="8"/>
        <v>1541.29</v>
      </c>
      <c r="J43" s="85">
        <f t="shared" si="9"/>
        <v>4064381.73</v>
      </c>
      <c r="K43" s="86">
        <f t="shared" si="32"/>
        <v>4182440.2199999997</v>
      </c>
      <c r="L43" s="87">
        <f t="shared" si="34"/>
        <v>-118058.48999999976</v>
      </c>
      <c r="M43" s="88">
        <f t="shared" si="37"/>
        <v>-1698.4035824479088</v>
      </c>
      <c r="N43" s="89">
        <f t="shared" si="35"/>
        <v>-119756.89358244766</v>
      </c>
      <c r="O43" s="16">
        <f t="shared" si="26"/>
        <v>0</v>
      </c>
      <c r="P43" s="16">
        <f t="shared" si="27"/>
        <v>0</v>
      </c>
      <c r="Q43" s="16">
        <f t="shared" si="28"/>
        <v>0</v>
      </c>
      <c r="R43" s="16">
        <f t="shared" si="29"/>
        <v>0</v>
      </c>
      <c r="S43" s="16">
        <f t="shared" si="29"/>
        <v>70</v>
      </c>
      <c r="T43" s="16">
        <f t="shared" si="29"/>
        <v>91</v>
      </c>
      <c r="U43" s="16">
        <f t="shared" si="29"/>
        <v>0</v>
      </c>
      <c r="V43" s="106">
        <f t="shared" si="17"/>
        <v>0</v>
      </c>
      <c r="W43" s="141">
        <f t="shared" si="31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-735.8440130136971</v>
      </c>
      <c r="AB43" s="63">
        <f>($L43+SUM($W43:AA43))*(T$11*T43)</f>
        <v>-962.5595694342118</v>
      </c>
      <c r="AC43" s="63">
        <f>($L43+SUM($W43:AB43))*(U$11*U43)</f>
        <v>0</v>
      </c>
      <c r="AD43" s="63">
        <f>($L43+SUM($W43:AC43))*(V$11*V43)</f>
        <v>0</v>
      </c>
      <c r="AE43" s="110">
        <f t="shared" si="38"/>
        <v>-1698.4035824479088</v>
      </c>
    </row>
    <row r="44" spans="1:31" s="156" customFormat="1" ht="12.75">
      <c r="A44" s="16">
        <v>1</v>
      </c>
      <c r="B44" s="153">
        <f t="shared" si="16"/>
        <v>41640</v>
      </c>
      <c r="C44" s="242">
        <f t="shared" si="24"/>
        <v>41675</v>
      </c>
      <c r="D44" s="242">
        <f t="shared" si="24"/>
        <v>41690</v>
      </c>
      <c r="E44" s="154" t="s">
        <v>137</v>
      </c>
      <c r="F44" s="155">
        <v>9</v>
      </c>
      <c r="G44" s="362">
        <v>805</v>
      </c>
      <c r="H44" s="247">
        <f aca="true" t="shared" si="39" ref="H44:H49">$K$3</f>
        <v>1586.22</v>
      </c>
      <c r="I44" s="247">
        <f t="shared" si="8"/>
        <v>1541.29</v>
      </c>
      <c r="J44" s="56">
        <f t="shared" si="9"/>
        <v>1240738.45</v>
      </c>
      <c r="K44" s="57">
        <f t="shared" si="32"/>
        <v>1276907.1</v>
      </c>
      <c r="L44" s="58">
        <f t="shared" si="34"/>
        <v>-36168.65000000014</v>
      </c>
      <c r="M44" s="55">
        <f t="shared" si="37"/>
        <v>-1626.727068457476</v>
      </c>
      <c r="N44" s="29">
        <f t="shared" si="35"/>
        <v>-37795.377068457616</v>
      </c>
      <c r="O44" s="155">
        <f t="shared" si="26"/>
        <v>40</v>
      </c>
      <c r="P44" s="155">
        <f t="shared" si="27"/>
        <v>91</v>
      </c>
      <c r="Q44" s="155">
        <f t="shared" si="28"/>
        <v>92</v>
      </c>
      <c r="R44" s="155">
        <f t="shared" si="29"/>
        <v>92</v>
      </c>
      <c r="S44" s="155">
        <f t="shared" si="29"/>
        <v>90</v>
      </c>
      <c r="T44" s="155">
        <f t="shared" si="29"/>
        <v>91</v>
      </c>
      <c r="U44" s="155">
        <f t="shared" si="29"/>
        <v>0</v>
      </c>
      <c r="V44" s="157">
        <f>IF(W$8&lt;V$8,0,IF($D44&lt;V$8,V$12,IF($D44&lt;W$8,W$8-$D44,0)))</f>
        <v>0</v>
      </c>
      <c r="W44" s="158">
        <f>$L44*O$11*O44</f>
        <v>-128.819849315069</v>
      </c>
      <c r="X44" s="159">
        <f>($L44+SUM($W44:W44))*(P$11*P44)</f>
        <v>-294.10895090232805</v>
      </c>
      <c r="Y44" s="159">
        <f>($L44+SUM($W44:X44))*(Q$11*Q44)</f>
        <v>-299.7501934593162</v>
      </c>
      <c r="Z44" s="159">
        <f>($L44+SUM($W44:Y44))*(R$11*R44)</f>
        <v>-302.20568134546244</v>
      </c>
      <c r="AA44" s="159">
        <f>($L44+SUM($W44:Z44))*(S$11*S44)</f>
        <v>-298.05777787517883</v>
      </c>
      <c r="AB44" s="159">
        <f>($L44+SUM($W44:AA44))*(T$11*T44)</f>
        <v>-303.7846155601215</v>
      </c>
      <c r="AC44" s="159">
        <f>($L44+SUM($W44:AB44))*(U$11*U44)</f>
        <v>0</v>
      </c>
      <c r="AD44" s="159">
        <f>($L44+SUM($W44:AC44))*(V$11*V44)</f>
        <v>0</v>
      </c>
      <c r="AE44" s="109">
        <f aca="true" t="shared" si="40" ref="AE44:AE49">SUM(W44:AD44)</f>
        <v>-1626.727068457476</v>
      </c>
    </row>
    <row r="45" spans="1:31" ht="12.75">
      <c r="A45" s="3">
        <v>2</v>
      </c>
      <c r="B45" s="15">
        <f t="shared" si="16"/>
        <v>41671</v>
      </c>
      <c r="C45" s="243">
        <f t="shared" si="24"/>
        <v>41703</v>
      </c>
      <c r="D45" s="243">
        <f t="shared" si="24"/>
        <v>41718</v>
      </c>
      <c r="E45" s="70" t="s">
        <v>137</v>
      </c>
      <c r="F45" s="3">
        <v>9</v>
      </c>
      <c r="G45" s="362">
        <v>811</v>
      </c>
      <c r="H45" s="247">
        <f t="shared" si="39"/>
        <v>1586.22</v>
      </c>
      <c r="I45" s="247">
        <f t="shared" si="8"/>
        <v>1541.29</v>
      </c>
      <c r="J45" s="56">
        <f t="shared" si="9"/>
        <v>1249986.19</v>
      </c>
      <c r="K45" s="57">
        <f t="shared" si="32"/>
        <v>1286424.42</v>
      </c>
      <c r="L45" s="58">
        <f t="shared" si="34"/>
        <v>-36438.22999999998</v>
      </c>
      <c r="M45" s="55">
        <f t="shared" si="37"/>
        <v>-1544.256753492352</v>
      </c>
      <c r="N45" s="29">
        <f t="shared" si="35"/>
        <v>-37982.48675349233</v>
      </c>
      <c r="O45" s="16">
        <f t="shared" si="26"/>
        <v>12</v>
      </c>
      <c r="P45" s="16">
        <f t="shared" si="27"/>
        <v>91</v>
      </c>
      <c r="Q45" s="16">
        <f t="shared" si="28"/>
        <v>92</v>
      </c>
      <c r="R45" s="16">
        <f t="shared" si="29"/>
        <v>92</v>
      </c>
      <c r="S45" s="16">
        <f t="shared" si="29"/>
        <v>90</v>
      </c>
      <c r="T45" s="16">
        <f t="shared" si="29"/>
        <v>91</v>
      </c>
      <c r="U45" s="16">
        <f t="shared" si="29"/>
        <v>0</v>
      </c>
      <c r="V45" s="106">
        <f t="shared" si="17"/>
        <v>0</v>
      </c>
      <c r="W45" s="141">
        <f aca="true" t="shared" si="41" ref="W45:W55">$L45*O$11*O45</f>
        <v>-38.93399917808217</v>
      </c>
      <c r="X45" s="63">
        <f>($L45+SUM($W45:W45))*(P$11*P45)</f>
        <v>-295.5649658289565</v>
      </c>
      <c r="Y45" s="63">
        <f>($L45+SUM($W45:X45))*(Q$11*Q45)</f>
        <v>-301.234135905126</v>
      </c>
      <c r="Z45" s="63">
        <f>($L45+SUM($W45:Y45))*(R$11*R45)</f>
        <v>-303.70177992254054</v>
      </c>
      <c r="AA45" s="63">
        <f>($L45+SUM($W45:Z45))*(S$11*S45)</f>
        <v>-299.53334185326423</v>
      </c>
      <c r="AB45" s="63">
        <f>($L45+SUM($W45:AA45))*(T$11*T45)</f>
        <v>-305.2885308043825</v>
      </c>
      <c r="AC45" s="63">
        <f>($L45+SUM($W45:AB45))*(U$11*U45)</f>
        <v>0</v>
      </c>
      <c r="AD45" s="63">
        <f>($L45+SUM($W45:AC45))*(V$11*V45)</f>
        <v>0</v>
      </c>
      <c r="AE45" s="110">
        <f t="shared" si="40"/>
        <v>-1544.256753492352</v>
      </c>
    </row>
    <row r="46" spans="1:31" ht="12.75">
      <c r="A46" s="3">
        <v>3</v>
      </c>
      <c r="B46" s="15">
        <f t="shared" si="16"/>
        <v>41699</v>
      </c>
      <c r="C46" s="243">
        <f t="shared" si="24"/>
        <v>41733</v>
      </c>
      <c r="D46" s="243">
        <f t="shared" si="24"/>
        <v>41750</v>
      </c>
      <c r="E46" s="70" t="s">
        <v>137</v>
      </c>
      <c r="F46" s="3">
        <v>9</v>
      </c>
      <c r="G46" s="362">
        <v>744</v>
      </c>
      <c r="H46" s="247">
        <f t="shared" si="39"/>
        <v>1586.22</v>
      </c>
      <c r="I46" s="247">
        <f t="shared" si="8"/>
        <v>1541.29</v>
      </c>
      <c r="J46" s="56">
        <f t="shared" si="9"/>
        <v>1146719.76</v>
      </c>
      <c r="K46" s="57">
        <f t="shared" si="32"/>
        <v>1180147.68</v>
      </c>
      <c r="L46" s="58">
        <f>+J46-K46</f>
        <v>-33427.919999999925</v>
      </c>
      <c r="M46" s="55">
        <f t="shared" si="37"/>
        <v>-1318.000384303293</v>
      </c>
      <c r="N46" s="29">
        <f>SUM(L46:M46)</f>
        <v>-34745.920384303216</v>
      </c>
      <c r="O46" s="16">
        <f aca="true" t="shared" si="42" ref="O46:U46">IF($D46&lt;O$8,O$12,IF($D46&lt;P$8,P$8-$D46,0))</f>
        <v>0</v>
      </c>
      <c r="P46" s="16">
        <f t="shared" si="42"/>
        <v>71</v>
      </c>
      <c r="Q46" s="16">
        <f t="shared" si="42"/>
        <v>92</v>
      </c>
      <c r="R46" s="16">
        <f t="shared" si="42"/>
        <v>92</v>
      </c>
      <c r="S46" s="16">
        <f t="shared" si="42"/>
        <v>90</v>
      </c>
      <c r="T46" s="16">
        <f t="shared" si="42"/>
        <v>91</v>
      </c>
      <c r="U46" s="16">
        <f t="shared" si="42"/>
        <v>0</v>
      </c>
      <c r="V46" s="106">
        <f>IF(W$8&lt;V$8,0,IF($D46&lt;V$8,V$12,IF($D46&lt;W$8,W$8-$D46,0)))</f>
        <v>0</v>
      </c>
      <c r="W46" s="141">
        <f>$L46*O$11*O46</f>
        <v>0</v>
      </c>
      <c r="X46" s="63">
        <f>($L46+SUM($W46:W46))*(P$11*P46)</f>
        <v>-211.32856273972556</v>
      </c>
      <c r="Y46" s="63">
        <f>($L46+SUM($W46:X46))*(Q$11*Q46)</f>
        <v>-275.56535123997685</v>
      </c>
      <c r="Z46" s="63">
        <f>($L46+SUM($W46:Y46))*(R$11*R46)</f>
        <v>-277.8227221994495</v>
      </c>
      <c r="AA46" s="63">
        <f>($L46+SUM($W46:Z46))*(S$11*S46)</f>
        <v>-274.00948537211997</v>
      </c>
      <c r="AB46" s="63">
        <f>($L46+SUM($W46:AA46))*(T$11*T46)</f>
        <v>-279.274262752021</v>
      </c>
      <c r="AC46" s="63">
        <f>($L46+SUM($W46:AB46))*(U$11*U46)</f>
        <v>0</v>
      </c>
      <c r="AD46" s="63">
        <f>($L46+SUM($W46:AC46))*(V$11*V46)</f>
        <v>0</v>
      </c>
      <c r="AE46" s="110">
        <f t="shared" si="40"/>
        <v>-1318.000384303293</v>
      </c>
    </row>
    <row r="47" spans="1:31" ht="12.75">
      <c r="A47" s="16">
        <v>4</v>
      </c>
      <c r="B47" s="15">
        <f t="shared" si="16"/>
        <v>41730</v>
      </c>
      <c r="C47" s="243">
        <f t="shared" si="24"/>
        <v>41764</v>
      </c>
      <c r="D47" s="243">
        <f t="shared" si="24"/>
        <v>41779</v>
      </c>
      <c r="E47" s="70" t="s">
        <v>137</v>
      </c>
      <c r="F47" s="3">
        <v>9</v>
      </c>
      <c r="G47" s="362">
        <v>408</v>
      </c>
      <c r="H47" s="247">
        <f t="shared" si="39"/>
        <v>1586.22</v>
      </c>
      <c r="I47" s="247">
        <f t="shared" si="8"/>
        <v>1541.29</v>
      </c>
      <c r="J47" s="56">
        <f t="shared" si="9"/>
        <v>628846.32</v>
      </c>
      <c r="K47" s="57">
        <f t="shared" si="32"/>
        <v>647177.76</v>
      </c>
      <c r="L47" s="58">
        <f aca="true" t="shared" si="43" ref="L47:L57">+J47-K47</f>
        <v>-18331.44000000006</v>
      </c>
      <c r="M47" s="55">
        <f t="shared" si="37"/>
        <v>-673.8818630974561</v>
      </c>
      <c r="N47" s="29">
        <f aca="true" t="shared" si="44" ref="N47:N57">SUM(L47:M47)</f>
        <v>-19005.321863097517</v>
      </c>
      <c r="O47" s="16">
        <f t="shared" si="26"/>
        <v>0</v>
      </c>
      <c r="P47" s="16">
        <f t="shared" si="27"/>
        <v>42</v>
      </c>
      <c r="Q47" s="16">
        <f t="shared" si="28"/>
        <v>92</v>
      </c>
      <c r="R47" s="16">
        <f t="shared" si="29"/>
        <v>92</v>
      </c>
      <c r="S47" s="16">
        <f t="shared" si="29"/>
        <v>90</v>
      </c>
      <c r="T47" s="16">
        <f t="shared" si="29"/>
        <v>91</v>
      </c>
      <c r="U47" s="16">
        <f t="shared" si="29"/>
        <v>0</v>
      </c>
      <c r="V47" s="106">
        <f t="shared" si="17"/>
        <v>0</v>
      </c>
      <c r="W47" s="141">
        <f t="shared" si="41"/>
        <v>0</v>
      </c>
      <c r="X47" s="63">
        <f>($L47+SUM($W47:W47))*(P$11*P47)</f>
        <v>-68.55456328767146</v>
      </c>
      <c r="Y47" s="63">
        <f>($L47+SUM($W47:X47))*(Q$11*Q47)</f>
        <v>-150.72872258693235</v>
      </c>
      <c r="Z47" s="63">
        <f>($L47+SUM($W47:Y47))*(R$11*R47)</f>
        <v>-151.96345924593217</v>
      </c>
      <c r="AA47" s="63">
        <f>($L47+SUM($W47:Z47))*(S$11*S47)</f>
        <v>-149.8776951492541</v>
      </c>
      <c r="AB47" s="63">
        <f>($L47+SUM($W47:AA47))*(T$11*T47)</f>
        <v>-152.75742282766598</v>
      </c>
      <c r="AC47" s="63">
        <f>($L47+SUM($W47:AB47))*(U$11*U47)</f>
        <v>0</v>
      </c>
      <c r="AD47" s="63">
        <f>($L47+SUM($W47:AC47))*(V$11*V47)</f>
        <v>0</v>
      </c>
      <c r="AE47" s="110">
        <f t="shared" si="40"/>
        <v>-673.8818630974561</v>
      </c>
    </row>
    <row r="48" spans="1:31" ht="12.75">
      <c r="A48" s="3">
        <v>5</v>
      </c>
      <c r="B48" s="15">
        <f t="shared" si="16"/>
        <v>41760</v>
      </c>
      <c r="C48" s="243">
        <f t="shared" si="24"/>
        <v>41794</v>
      </c>
      <c r="D48" s="243">
        <f t="shared" si="24"/>
        <v>41809</v>
      </c>
      <c r="E48" s="30" t="s">
        <v>137</v>
      </c>
      <c r="F48" s="3">
        <v>9</v>
      </c>
      <c r="G48" s="362">
        <v>579</v>
      </c>
      <c r="H48" s="247">
        <f t="shared" si="39"/>
        <v>1586.22</v>
      </c>
      <c r="I48" s="247">
        <f t="shared" si="8"/>
        <v>1541.29</v>
      </c>
      <c r="J48" s="56">
        <f t="shared" si="9"/>
        <v>892406.91</v>
      </c>
      <c r="K48" s="57">
        <f t="shared" si="32"/>
        <v>918421.38</v>
      </c>
      <c r="L48" s="58">
        <f t="shared" si="43"/>
        <v>-26014.469999999972</v>
      </c>
      <c r="M48" s="55">
        <f t="shared" si="37"/>
        <v>-884.5408149646535</v>
      </c>
      <c r="N48" s="29">
        <f t="shared" si="44"/>
        <v>-26899.010814964626</v>
      </c>
      <c r="O48" s="16">
        <f t="shared" si="26"/>
        <v>0</v>
      </c>
      <c r="P48" s="16">
        <f t="shared" si="27"/>
        <v>12</v>
      </c>
      <c r="Q48" s="16">
        <f t="shared" si="28"/>
        <v>92</v>
      </c>
      <c r="R48" s="16">
        <f aca="true" t="shared" si="45" ref="R48:U62">IF($D48&lt;R$8,R$12,IF($D48&lt;S$8,S$8-$D48,0))</f>
        <v>92</v>
      </c>
      <c r="S48" s="16">
        <f t="shared" si="45"/>
        <v>90</v>
      </c>
      <c r="T48" s="16">
        <f t="shared" si="45"/>
        <v>91</v>
      </c>
      <c r="U48" s="16">
        <f t="shared" si="45"/>
        <v>0</v>
      </c>
      <c r="V48" s="106">
        <f t="shared" si="17"/>
        <v>0</v>
      </c>
      <c r="W48" s="141">
        <f t="shared" si="41"/>
        <v>0</v>
      </c>
      <c r="X48" s="63">
        <f>($L48+SUM($W48:W48))*(P$11*P48)</f>
        <v>-27.796283013698602</v>
      </c>
      <c r="Y48" s="63">
        <f>($L48+SUM($W48:X48))*(Q$11*Q48)</f>
        <v>-213.33253749646815</v>
      </c>
      <c r="Z48" s="63">
        <f>($L48+SUM($W48:Y48))*(R$11*R48)</f>
        <v>-215.08011088582276</v>
      </c>
      <c r="AA48" s="63">
        <f>($L48+SUM($W48:Z48))*(S$11*S48)</f>
        <v>-212.12804349132378</v>
      </c>
      <c r="AB48" s="63">
        <f>($L48+SUM($W48:AA48))*(T$11*T48)</f>
        <v>-216.20384007734012</v>
      </c>
      <c r="AC48" s="63">
        <f>($L48+SUM($W48:AB48))*(U$11*U48)</f>
        <v>0</v>
      </c>
      <c r="AD48" s="63">
        <f>($L48+SUM($W48:AC48))*(V$11*V48)</f>
        <v>0</v>
      </c>
      <c r="AE48" s="110">
        <f t="shared" si="40"/>
        <v>-884.5408149646535</v>
      </c>
    </row>
    <row r="49" spans="1:31" ht="12.75">
      <c r="A49" s="3">
        <v>6</v>
      </c>
      <c r="B49" s="15">
        <f t="shared" si="16"/>
        <v>41791</v>
      </c>
      <c r="C49" s="243">
        <f t="shared" si="24"/>
        <v>41823</v>
      </c>
      <c r="D49" s="243">
        <f t="shared" si="24"/>
        <v>41838</v>
      </c>
      <c r="E49" s="30" t="s">
        <v>137</v>
      </c>
      <c r="F49" s="3">
        <v>9</v>
      </c>
      <c r="G49" s="362">
        <v>688</v>
      </c>
      <c r="H49" s="247">
        <f t="shared" si="39"/>
        <v>1586.22</v>
      </c>
      <c r="I49" s="247">
        <f t="shared" si="8"/>
        <v>1541.29</v>
      </c>
      <c r="J49" s="56">
        <f t="shared" si="9"/>
        <v>1060407.52</v>
      </c>
      <c r="K49" s="57">
        <f t="shared" si="32"/>
        <v>1091319.36</v>
      </c>
      <c r="L49" s="77">
        <f t="shared" si="43"/>
        <v>-30911.840000000084</v>
      </c>
      <c r="M49" s="78">
        <f t="shared" si="37"/>
        <v>-969.0070389338808</v>
      </c>
      <c r="N49" s="76">
        <f t="shared" si="44"/>
        <v>-31880.847038933964</v>
      </c>
      <c r="O49" s="16">
        <f t="shared" si="26"/>
        <v>0</v>
      </c>
      <c r="P49" s="16">
        <f t="shared" si="27"/>
        <v>0</v>
      </c>
      <c r="Q49" s="16">
        <f t="shared" si="28"/>
        <v>75</v>
      </c>
      <c r="R49" s="16">
        <f t="shared" si="45"/>
        <v>92</v>
      </c>
      <c r="S49" s="16">
        <f t="shared" si="45"/>
        <v>90</v>
      </c>
      <c r="T49" s="16">
        <f t="shared" si="45"/>
        <v>91</v>
      </c>
      <c r="U49" s="16">
        <f t="shared" si="45"/>
        <v>0</v>
      </c>
      <c r="V49" s="106">
        <f t="shared" si="17"/>
        <v>0</v>
      </c>
      <c r="W49" s="141">
        <f t="shared" si="41"/>
        <v>0</v>
      </c>
      <c r="X49" s="63">
        <f>($L49+SUM($W49:W49))*(P$11*P49)</f>
        <v>0</v>
      </c>
      <c r="Y49" s="63">
        <f>($L49+SUM($W49:X49))*(Q$11*Q49)</f>
        <v>-206.43180821917866</v>
      </c>
      <c r="Z49" s="63">
        <f>($L49+SUM($W49:Y49))*(R$11*R49)</f>
        <v>-254.91406220979613</v>
      </c>
      <c r="AA49" s="63">
        <f>($L49+SUM($W49:Z49))*(S$11*S49)</f>
        <v>-251.41525663289036</v>
      </c>
      <c r="AB49" s="63">
        <f>($L49+SUM($W49:AA49))*(T$11*T49)</f>
        <v>-256.24591187201565</v>
      </c>
      <c r="AC49" s="63">
        <f>($L49+SUM($W49:AB49))*(U$11*U49)</f>
        <v>0</v>
      </c>
      <c r="AD49" s="63">
        <f>($L49+SUM($W49:AC49))*(V$11*V49)</f>
        <v>0</v>
      </c>
      <c r="AE49" s="110">
        <f t="shared" si="40"/>
        <v>-969.0070389338808</v>
      </c>
    </row>
    <row r="50" spans="1:31" ht="12.75">
      <c r="A50" s="16">
        <v>7</v>
      </c>
      <c r="B50" s="15">
        <f t="shared" si="16"/>
        <v>41821</v>
      </c>
      <c r="C50" s="243">
        <f t="shared" si="24"/>
        <v>41856</v>
      </c>
      <c r="D50" s="243">
        <f t="shared" si="24"/>
        <v>41871</v>
      </c>
      <c r="E50" s="30" t="s">
        <v>137</v>
      </c>
      <c r="F50" s="3">
        <v>9</v>
      </c>
      <c r="G50" s="362">
        <v>724</v>
      </c>
      <c r="H50" s="247">
        <f aca="true" t="shared" si="46" ref="H50:H55">$K$8</f>
        <v>1586.06</v>
      </c>
      <c r="I50" s="247">
        <f t="shared" si="8"/>
        <v>1541.29</v>
      </c>
      <c r="J50" s="56">
        <f t="shared" si="9"/>
        <v>1115893.96</v>
      </c>
      <c r="K50" s="74">
        <f t="shared" si="32"/>
        <v>1148307.44</v>
      </c>
      <c r="L50" s="77">
        <f t="shared" si="43"/>
        <v>-32413.47999999998</v>
      </c>
      <c r="M50" s="75">
        <f t="shared" si="37"/>
        <v>-918.5032784159214</v>
      </c>
      <c r="N50" s="76">
        <f t="shared" si="44"/>
        <v>-33331.9832784159</v>
      </c>
      <c r="O50" s="16">
        <f t="shared" si="26"/>
        <v>0</v>
      </c>
      <c r="P50" s="16">
        <f t="shared" si="27"/>
        <v>0</v>
      </c>
      <c r="Q50" s="16">
        <f t="shared" si="28"/>
        <v>42</v>
      </c>
      <c r="R50" s="16">
        <f t="shared" si="45"/>
        <v>92</v>
      </c>
      <c r="S50" s="16">
        <f t="shared" si="45"/>
        <v>90</v>
      </c>
      <c r="T50" s="16">
        <f t="shared" si="45"/>
        <v>91</v>
      </c>
      <c r="U50" s="16">
        <f t="shared" si="45"/>
        <v>0</v>
      </c>
      <c r="V50" s="106">
        <f t="shared" si="17"/>
        <v>0</v>
      </c>
      <c r="W50" s="141">
        <f t="shared" si="41"/>
        <v>0</v>
      </c>
      <c r="X50" s="63">
        <f>($L50+SUM($W50:W50))*(P$11*P50)</f>
        <v>0</v>
      </c>
      <c r="Y50" s="63">
        <f>($L50+SUM($W50:X50))*(Q$11*Q50)</f>
        <v>-121.21753479452047</v>
      </c>
      <c r="Z50" s="63">
        <f>($L50+SUM($W50:Y50))*(R$11*R50)</f>
        <v>-266.51711131242615</v>
      </c>
      <c r="AA50" s="63">
        <f>($L50+SUM($W50:Z50))*(S$11*S50)</f>
        <v>-262.8590488763363</v>
      </c>
      <c r="AB50" s="63">
        <f>($L50+SUM($W50:AA50))*(T$11*T50)</f>
        <v>-267.9095834326384</v>
      </c>
      <c r="AC50" s="63">
        <f>($L50+SUM($W50:AB50))*(U$11*U50)</f>
        <v>0</v>
      </c>
      <c r="AD50" s="63">
        <f>($L50+SUM($W50:AC50))*(V$11*V50)</f>
        <v>0</v>
      </c>
      <c r="AE50" s="110">
        <f aca="true" t="shared" si="47" ref="AE50:AE55">SUM(W50:AD50)</f>
        <v>-918.5032784159214</v>
      </c>
    </row>
    <row r="51" spans="1:31" ht="12.75">
      <c r="A51" s="3">
        <v>8</v>
      </c>
      <c r="B51" s="15">
        <f t="shared" si="16"/>
        <v>41852</v>
      </c>
      <c r="C51" s="243">
        <f t="shared" si="24"/>
        <v>41886</v>
      </c>
      <c r="D51" s="243">
        <f t="shared" si="24"/>
        <v>41901</v>
      </c>
      <c r="E51" s="30" t="s">
        <v>137</v>
      </c>
      <c r="F51" s="3">
        <v>9</v>
      </c>
      <c r="G51" s="362">
        <v>810</v>
      </c>
      <c r="H51" s="247">
        <f t="shared" si="46"/>
        <v>1586.06</v>
      </c>
      <c r="I51" s="247">
        <f t="shared" si="8"/>
        <v>1541.29</v>
      </c>
      <c r="J51" s="56">
        <f t="shared" si="9"/>
        <v>1248444.9</v>
      </c>
      <c r="K51" s="74">
        <f t="shared" si="32"/>
        <v>1284708.5999999999</v>
      </c>
      <c r="L51" s="77">
        <f t="shared" si="43"/>
        <v>-36263.69999999995</v>
      </c>
      <c r="M51" s="75">
        <f t="shared" si="37"/>
        <v>-928.3646332659018</v>
      </c>
      <c r="N51" s="76">
        <f t="shared" si="44"/>
        <v>-37192.06463326586</v>
      </c>
      <c r="O51" s="16">
        <f t="shared" si="26"/>
        <v>0</v>
      </c>
      <c r="P51" s="16">
        <f t="shared" si="27"/>
        <v>0</v>
      </c>
      <c r="Q51" s="16">
        <f t="shared" si="28"/>
        <v>12</v>
      </c>
      <c r="R51" s="16">
        <f t="shared" si="45"/>
        <v>92</v>
      </c>
      <c r="S51" s="16">
        <f t="shared" si="45"/>
        <v>90</v>
      </c>
      <c r="T51" s="16">
        <f t="shared" si="45"/>
        <v>91</v>
      </c>
      <c r="U51" s="16">
        <f t="shared" si="45"/>
        <v>0</v>
      </c>
      <c r="V51" s="106">
        <f t="shared" si="17"/>
        <v>0</v>
      </c>
      <c r="W51" s="141">
        <f t="shared" si="41"/>
        <v>0</v>
      </c>
      <c r="X51" s="63">
        <f>($L51+SUM($W51:W51))*(P$11*P51)</f>
        <v>0</v>
      </c>
      <c r="Y51" s="63">
        <f>($L51+SUM($W51:X51))*(Q$11*Q51)</f>
        <v>-38.7475150684931</v>
      </c>
      <c r="Z51" s="63">
        <f>($L51+SUM($W51:Y51))*(R$11*R51)</f>
        <v>-297.38169334261545</v>
      </c>
      <c r="AA51" s="63">
        <f>($L51+SUM($W51:Z51))*(S$11*S51)</f>
        <v>-293.3000011906914</v>
      </c>
      <c r="AB51" s="63">
        <f>($L51+SUM($W51:AA51))*(T$11*T51)</f>
        <v>-298.9354236641019</v>
      </c>
      <c r="AC51" s="63">
        <f>($L51+SUM($W51:AB51))*(U$11*U51)</f>
        <v>0</v>
      </c>
      <c r="AD51" s="63">
        <f>($L51+SUM($W51:AC51))*(V$11*V51)</f>
        <v>0</v>
      </c>
      <c r="AE51" s="110">
        <f t="shared" si="47"/>
        <v>-928.3646332659018</v>
      </c>
    </row>
    <row r="52" spans="1:31" ht="12.75">
      <c r="A52" s="3">
        <v>9</v>
      </c>
      <c r="B52" s="15">
        <f t="shared" si="16"/>
        <v>41883</v>
      </c>
      <c r="C52" s="243">
        <f aca="true" t="shared" si="48" ref="C52:D71">+C40</f>
        <v>41915</v>
      </c>
      <c r="D52" s="243">
        <f t="shared" si="48"/>
        <v>41932</v>
      </c>
      <c r="E52" s="30" t="s">
        <v>137</v>
      </c>
      <c r="F52" s="3">
        <v>9</v>
      </c>
      <c r="G52" s="362">
        <v>753</v>
      </c>
      <c r="H52" s="247">
        <f t="shared" si="46"/>
        <v>1586.06</v>
      </c>
      <c r="I52" s="247">
        <f aca="true" t="shared" si="49" ref="I52:I83">$J$3</f>
        <v>1541.29</v>
      </c>
      <c r="J52" s="56">
        <f t="shared" si="9"/>
        <v>1160591.3699999999</v>
      </c>
      <c r="K52" s="74">
        <f t="shared" si="32"/>
        <v>1194303.18</v>
      </c>
      <c r="L52" s="77">
        <f t="shared" si="43"/>
        <v>-33711.810000000056</v>
      </c>
      <c r="M52" s="75">
        <f t="shared" si="37"/>
        <v>-768.1758503471758</v>
      </c>
      <c r="N52" s="76">
        <f t="shared" si="44"/>
        <v>-34479.985850347235</v>
      </c>
      <c r="O52" s="16">
        <f t="shared" si="26"/>
        <v>0</v>
      </c>
      <c r="P52" s="16">
        <f t="shared" si="27"/>
        <v>0</v>
      </c>
      <c r="Q52" s="16">
        <f t="shared" si="28"/>
        <v>0</v>
      </c>
      <c r="R52" s="16">
        <f t="shared" si="45"/>
        <v>73</v>
      </c>
      <c r="S52" s="16">
        <f t="shared" si="45"/>
        <v>90</v>
      </c>
      <c r="T52" s="16">
        <f t="shared" si="45"/>
        <v>91</v>
      </c>
      <c r="U52" s="16">
        <f t="shared" si="45"/>
        <v>0</v>
      </c>
      <c r="V52" s="106">
        <f t="shared" si="17"/>
        <v>0</v>
      </c>
      <c r="W52" s="141">
        <f t="shared" si="41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-219.12676500000035</v>
      </c>
      <c r="AA52" s="63">
        <f>($L52+SUM($W52:Z52))*(S$11*S52)</f>
        <v>-271.9123014729456</v>
      </c>
      <c r="AB52" s="63">
        <f>($L52+SUM($W52:AA52))*(T$11*T52)</f>
        <v>-277.1367838742299</v>
      </c>
      <c r="AC52" s="63">
        <f>($L52+SUM($W52:AB52))*(U$11*U52)</f>
        <v>0</v>
      </c>
      <c r="AD52" s="63">
        <f>($L52+SUM($W52:AC52))*(V$11*V52)</f>
        <v>0</v>
      </c>
      <c r="AE52" s="110">
        <f t="shared" si="47"/>
        <v>-768.1758503471758</v>
      </c>
    </row>
    <row r="53" spans="1:31" ht="12.75">
      <c r="A53" s="16">
        <v>10</v>
      </c>
      <c r="B53" s="15">
        <f t="shared" si="16"/>
        <v>41913</v>
      </c>
      <c r="C53" s="243">
        <f t="shared" si="48"/>
        <v>41948</v>
      </c>
      <c r="D53" s="243">
        <f t="shared" si="48"/>
        <v>41963</v>
      </c>
      <c r="E53" s="30" t="s">
        <v>137</v>
      </c>
      <c r="F53" s="3">
        <v>9</v>
      </c>
      <c r="G53" s="362">
        <v>583</v>
      </c>
      <c r="H53" s="247">
        <f t="shared" si="46"/>
        <v>1586.06</v>
      </c>
      <c r="I53" s="247">
        <f t="shared" si="49"/>
        <v>1541.29</v>
      </c>
      <c r="J53" s="56">
        <f t="shared" si="9"/>
        <v>898572.07</v>
      </c>
      <c r="K53" s="74">
        <f t="shared" si="32"/>
        <v>924672.98</v>
      </c>
      <c r="L53" s="77">
        <f t="shared" si="43"/>
        <v>-26100.910000000033</v>
      </c>
      <c r="M53" s="75">
        <f t="shared" si="37"/>
        <v>-521.5382354061848</v>
      </c>
      <c r="N53" s="76">
        <f t="shared" si="44"/>
        <v>-26622.448235406217</v>
      </c>
      <c r="O53" s="16">
        <f t="shared" si="26"/>
        <v>0</v>
      </c>
      <c r="P53" s="16">
        <f t="shared" si="27"/>
        <v>0</v>
      </c>
      <c r="Q53" s="16">
        <f t="shared" si="28"/>
        <v>0</v>
      </c>
      <c r="R53" s="16">
        <f t="shared" si="45"/>
        <v>42</v>
      </c>
      <c r="S53" s="16">
        <f t="shared" si="45"/>
        <v>90</v>
      </c>
      <c r="T53" s="16">
        <f t="shared" si="45"/>
        <v>91</v>
      </c>
      <c r="U53" s="16">
        <f t="shared" si="45"/>
        <v>0</v>
      </c>
      <c r="V53" s="106">
        <f t="shared" si="17"/>
        <v>0</v>
      </c>
      <c r="W53" s="141">
        <f t="shared" si="41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-97.61025246575355</v>
      </c>
      <c r="AA53" s="63">
        <f>($L53+SUM($W53:Z53))*(S$11*S53)</f>
        <v>-209.94704585880115</v>
      </c>
      <c r="AB53" s="63">
        <f>($L53+SUM($W53:AA53))*(T$11*T53)</f>
        <v>-213.98093708163006</v>
      </c>
      <c r="AC53" s="63">
        <f>($L53+SUM($W53:AB53))*(U$11*U53)</f>
        <v>0</v>
      </c>
      <c r="AD53" s="63">
        <f>($L53+SUM($W53:AC53))*(V$11*V53)</f>
        <v>0</v>
      </c>
      <c r="AE53" s="110">
        <f t="shared" si="47"/>
        <v>-521.5382354061848</v>
      </c>
    </row>
    <row r="54" spans="1:31" ht="12.75">
      <c r="A54" s="3">
        <v>11</v>
      </c>
      <c r="B54" s="15">
        <f t="shared" si="16"/>
        <v>41944</v>
      </c>
      <c r="C54" s="243">
        <f t="shared" si="48"/>
        <v>41976</v>
      </c>
      <c r="D54" s="243">
        <f t="shared" si="48"/>
        <v>41991</v>
      </c>
      <c r="E54" s="30" t="s">
        <v>137</v>
      </c>
      <c r="F54" s="3">
        <v>9</v>
      </c>
      <c r="G54" s="362">
        <v>715</v>
      </c>
      <c r="H54" s="247">
        <f t="shared" si="46"/>
        <v>1586.06</v>
      </c>
      <c r="I54" s="247">
        <f t="shared" si="49"/>
        <v>1541.29</v>
      </c>
      <c r="J54" s="56">
        <f t="shared" si="9"/>
        <v>1102022.3499999999</v>
      </c>
      <c r="K54" s="74">
        <f t="shared" si="32"/>
        <v>1134032.9</v>
      </c>
      <c r="L54" s="77">
        <f t="shared" si="43"/>
        <v>-32010.550000000047</v>
      </c>
      <c r="M54" s="75">
        <f t="shared" si="37"/>
        <v>-558.5238508057549</v>
      </c>
      <c r="N54" s="76">
        <f t="shared" si="44"/>
        <v>-32569.073850805802</v>
      </c>
      <c r="O54" s="16">
        <f t="shared" si="26"/>
        <v>0</v>
      </c>
      <c r="P54" s="16">
        <f t="shared" si="27"/>
        <v>0</v>
      </c>
      <c r="Q54" s="16">
        <f t="shared" si="28"/>
        <v>0</v>
      </c>
      <c r="R54" s="16">
        <f t="shared" si="45"/>
        <v>14</v>
      </c>
      <c r="S54" s="16">
        <f t="shared" si="45"/>
        <v>90</v>
      </c>
      <c r="T54" s="16">
        <f t="shared" si="45"/>
        <v>91</v>
      </c>
      <c r="U54" s="16">
        <f t="shared" si="45"/>
        <v>0</v>
      </c>
      <c r="V54" s="106">
        <f t="shared" si="17"/>
        <v>0</v>
      </c>
      <c r="W54" s="141">
        <f t="shared" si="41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-39.90356232876718</v>
      </c>
      <c r="AA54" s="63">
        <f>($L54+SUM($W54:Z54))*(S$11*S54)</f>
        <v>-256.8426758077035</v>
      </c>
      <c r="AB54" s="63">
        <f>($L54+SUM($W54:AA54))*(T$11*T54)</f>
        <v>-261.7776126692843</v>
      </c>
      <c r="AC54" s="63">
        <f>($L54+SUM($W54:AB54))*(U$11*U54)</f>
        <v>0</v>
      </c>
      <c r="AD54" s="63">
        <f>($L54+SUM($W54:AC54))*(V$11*V54)</f>
        <v>0</v>
      </c>
      <c r="AE54" s="110">
        <f t="shared" si="47"/>
        <v>-558.5238508057549</v>
      </c>
    </row>
    <row r="55" spans="1:31" s="69" customFormat="1" ht="12.75">
      <c r="A55" s="3">
        <v>12</v>
      </c>
      <c r="B55" s="83">
        <f t="shared" si="16"/>
        <v>41974</v>
      </c>
      <c r="C55" s="243">
        <f t="shared" si="48"/>
        <v>42010</v>
      </c>
      <c r="D55" s="243">
        <f t="shared" si="48"/>
        <v>42025</v>
      </c>
      <c r="E55" s="84" t="s">
        <v>137</v>
      </c>
      <c r="F55" s="81">
        <v>9</v>
      </c>
      <c r="G55" s="363">
        <v>605</v>
      </c>
      <c r="H55" s="248">
        <f t="shared" si="46"/>
        <v>1586.06</v>
      </c>
      <c r="I55" s="248">
        <f t="shared" si="49"/>
        <v>1541.29</v>
      </c>
      <c r="J55" s="85">
        <f t="shared" si="9"/>
        <v>932480.45</v>
      </c>
      <c r="K55" s="86">
        <f t="shared" si="32"/>
        <v>959566.2999999999</v>
      </c>
      <c r="L55" s="87">
        <f t="shared" si="43"/>
        <v>-27085.849999999977</v>
      </c>
      <c r="M55" s="88">
        <f t="shared" si="37"/>
        <v>-389.6602834209276</v>
      </c>
      <c r="N55" s="89">
        <f t="shared" si="44"/>
        <v>-27475.510283420903</v>
      </c>
      <c r="O55" s="81">
        <f t="shared" si="26"/>
        <v>0</v>
      </c>
      <c r="P55" s="81">
        <f t="shared" si="27"/>
        <v>0</v>
      </c>
      <c r="Q55" s="81">
        <f t="shared" si="28"/>
        <v>0</v>
      </c>
      <c r="R55" s="81">
        <f t="shared" si="45"/>
        <v>0</v>
      </c>
      <c r="S55" s="81">
        <f t="shared" si="45"/>
        <v>70</v>
      </c>
      <c r="T55" s="81">
        <f t="shared" si="45"/>
        <v>91</v>
      </c>
      <c r="U55" s="81">
        <f t="shared" si="45"/>
        <v>0</v>
      </c>
      <c r="V55" s="107">
        <f t="shared" si="17"/>
        <v>0</v>
      </c>
      <c r="W55" s="142">
        <f t="shared" si="41"/>
        <v>0</v>
      </c>
      <c r="X55" s="90">
        <f>($L55+SUM($W55:W55))*(P$11*P55)</f>
        <v>0</v>
      </c>
      <c r="Y55" s="90">
        <f>($L55+SUM($W55:X55))*(Q$11*Q55)</f>
        <v>0</v>
      </c>
      <c r="Z55" s="90">
        <f>($L55+SUM($W55:Y55))*(R$11*R55)</f>
        <v>0</v>
      </c>
      <c r="AA55" s="90">
        <f>($L55+SUM($W55:Z55))*(S$11*S55)</f>
        <v>-168.82276369862998</v>
      </c>
      <c r="AB55" s="90">
        <f>($L55+SUM($W55:AA55))*(T$11*T55)</f>
        <v>-220.83751972229763</v>
      </c>
      <c r="AC55" s="90">
        <f>($L55+SUM($W55:AB55))*(U$11*U55)</f>
        <v>0</v>
      </c>
      <c r="AD55" s="90">
        <f>($L55+SUM($W55:AC55))*(V$11*V55)</f>
        <v>0</v>
      </c>
      <c r="AE55" s="111">
        <f t="shared" si="47"/>
        <v>-389.6602834209276</v>
      </c>
    </row>
    <row r="56" spans="1:31" s="13" customFormat="1" ht="12.75" customHeight="1">
      <c r="A56" s="16">
        <v>1</v>
      </c>
      <c r="B56" s="15">
        <f t="shared" si="16"/>
        <v>41640</v>
      </c>
      <c r="C56" s="242">
        <f t="shared" si="48"/>
        <v>41675</v>
      </c>
      <c r="D56" s="242">
        <f t="shared" si="48"/>
        <v>41690</v>
      </c>
      <c r="E56" s="118" t="s">
        <v>118</v>
      </c>
      <c r="F56" s="16">
        <v>9</v>
      </c>
      <c r="G56" s="362">
        <v>35</v>
      </c>
      <c r="H56" s="247">
        <f aca="true" t="shared" si="50" ref="H56:H61">$K$3</f>
        <v>1586.22</v>
      </c>
      <c r="I56" s="247">
        <f t="shared" si="49"/>
        <v>1541.29</v>
      </c>
      <c r="J56" s="56">
        <f t="shared" si="9"/>
        <v>53945.15</v>
      </c>
      <c r="K56" s="57">
        <f t="shared" si="32"/>
        <v>55517.700000000004</v>
      </c>
      <c r="L56" s="58">
        <f t="shared" si="43"/>
        <v>-1572.550000000003</v>
      </c>
      <c r="M56" s="55">
        <f t="shared" si="37"/>
        <v>-70.72726384597706</v>
      </c>
      <c r="N56" s="29">
        <f t="shared" si="44"/>
        <v>-1643.27726384598</v>
      </c>
      <c r="O56" s="16">
        <f t="shared" si="26"/>
        <v>40</v>
      </c>
      <c r="P56" s="16">
        <f t="shared" si="27"/>
        <v>91</v>
      </c>
      <c r="Q56" s="16">
        <f t="shared" si="28"/>
        <v>92</v>
      </c>
      <c r="R56" s="16">
        <f t="shared" si="45"/>
        <v>92</v>
      </c>
      <c r="S56" s="16">
        <f t="shared" si="45"/>
        <v>90</v>
      </c>
      <c r="T56" s="16">
        <f t="shared" si="45"/>
        <v>91</v>
      </c>
      <c r="U56" s="16">
        <f t="shared" si="45"/>
        <v>0</v>
      </c>
      <c r="V56" s="106">
        <f>IF(W$8&lt;V$8,0,IF($D56&lt;V$8,V$12,IF($D56&lt;W$8,W$8-$D56,0)))</f>
        <v>0</v>
      </c>
      <c r="W56" s="141">
        <f>$L56*O$11*O56</f>
        <v>-5.600863013698641</v>
      </c>
      <c r="X56" s="63">
        <f>($L56+SUM($W56:W56))*(P$11*P56)</f>
        <v>-12.787345691405541</v>
      </c>
      <c r="Y56" s="63">
        <f>($L56+SUM($W56:X56))*(Q$11*Q56)</f>
        <v>-13.032617106926766</v>
      </c>
      <c r="Z56" s="63">
        <f>($L56+SUM($W56:Y56))*(R$11*R56)</f>
        <v>-13.139377449802687</v>
      </c>
      <c r="AA56" s="63">
        <f>($L56+SUM($W56:Z56))*(S$11*S56)</f>
        <v>-12.95903382065992</v>
      </c>
      <c r="AB56" s="63">
        <f>($L56+SUM($W56:AA56))*(T$11*T56)</f>
        <v>-13.208026763483517</v>
      </c>
      <c r="AC56" s="63">
        <f>($L56+SUM($W56:AB56))*(U$11*U56)</f>
        <v>0</v>
      </c>
      <c r="AD56" s="63">
        <f>($L56+SUM($W56:AC56))*(V$11*V56)</f>
        <v>0</v>
      </c>
      <c r="AE56" s="110">
        <f aca="true" t="shared" si="51" ref="AE56:AE61">SUM(W56:AD56)</f>
        <v>-70.72726384597706</v>
      </c>
    </row>
    <row r="57" spans="1:31" ht="12.75">
      <c r="A57" s="3">
        <v>2</v>
      </c>
      <c r="B57" s="15">
        <f t="shared" si="16"/>
        <v>41671</v>
      </c>
      <c r="C57" s="243">
        <f t="shared" si="48"/>
        <v>41703</v>
      </c>
      <c r="D57" s="243">
        <f t="shared" si="48"/>
        <v>41718</v>
      </c>
      <c r="E57" s="70" t="s">
        <v>118</v>
      </c>
      <c r="F57" s="3">
        <v>9</v>
      </c>
      <c r="G57" s="362">
        <v>38</v>
      </c>
      <c r="H57" s="247">
        <f t="shared" si="50"/>
        <v>1586.22</v>
      </c>
      <c r="I57" s="247">
        <f t="shared" si="49"/>
        <v>1541.29</v>
      </c>
      <c r="J57" s="56">
        <f t="shared" si="9"/>
        <v>58569.02</v>
      </c>
      <c r="K57" s="57">
        <f t="shared" si="32"/>
        <v>60276.36</v>
      </c>
      <c r="L57" s="58">
        <f t="shared" si="43"/>
        <v>-1707.3400000000038</v>
      </c>
      <c r="M57" s="55">
        <f t="shared" si="37"/>
        <v>-72.35728314760732</v>
      </c>
      <c r="N57" s="29">
        <f t="shared" si="44"/>
        <v>-1779.6972831476112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45"/>
        <v>92</v>
      </c>
      <c r="S57" s="16">
        <f t="shared" si="45"/>
        <v>90</v>
      </c>
      <c r="T57" s="16">
        <f t="shared" si="45"/>
        <v>91</v>
      </c>
      <c r="U57" s="16">
        <f t="shared" si="45"/>
        <v>0</v>
      </c>
      <c r="V57" s="106">
        <f t="shared" si="17"/>
        <v>0</v>
      </c>
      <c r="W57" s="141">
        <f aca="true" t="shared" si="52" ref="W57:W67">$L57*O$11*O57</f>
        <v>-1.8242810958904148</v>
      </c>
      <c r="X57" s="63">
        <f>($L57+SUM($W57:W57))*(P$11*P57)</f>
        <v>-13.84891331874276</v>
      </c>
      <c r="Y57" s="63">
        <f>($L57+SUM($W57:X57))*(Q$11*Q57)</f>
        <v>-14.114546441917161</v>
      </c>
      <c r="Z57" s="63">
        <f>($L57+SUM($W57:Y57))*(R$11*R57)</f>
        <v>-14.230169712770126</v>
      </c>
      <c r="AA57" s="63">
        <f>($L57+SUM($W57:Z57))*(S$11*S57)</f>
        <v>-14.034854488808968</v>
      </c>
      <c r="AB57" s="63">
        <f>($L57+SUM($W57:AA57))*(T$11*T57)</f>
        <v>-14.304518089477886</v>
      </c>
      <c r="AC57" s="63">
        <f>($L57+SUM($W57:AB57))*(U$11*U57)</f>
        <v>0</v>
      </c>
      <c r="AD57" s="63">
        <f>($L57+SUM($W57:AC57))*(V$11*V57)</f>
        <v>0</v>
      </c>
      <c r="AE57" s="110">
        <f t="shared" si="51"/>
        <v>-72.35728314760732</v>
      </c>
    </row>
    <row r="58" spans="1:31" ht="12.75">
      <c r="A58" s="3">
        <v>3</v>
      </c>
      <c r="B58" s="15">
        <f t="shared" si="16"/>
        <v>41699</v>
      </c>
      <c r="C58" s="243">
        <f t="shared" si="48"/>
        <v>41733</v>
      </c>
      <c r="D58" s="243">
        <f t="shared" si="48"/>
        <v>41750</v>
      </c>
      <c r="E58" s="70" t="s">
        <v>118</v>
      </c>
      <c r="F58" s="3">
        <v>9</v>
      </c>
      <c r="G58" s="362">
        <v>37</v>
      </c>
      <c r="H58" s="247">
        <f t="shared" si="50"/>
        <v>1586.22</v>
      </c>
      <c r="I58" s="247">
        <f t="shared" si="49"/>
        <v>1541.29</v>
      </c>
      <c r="J58" s="56">
        <f t="shared" si="9"/>
        <v>57027.729999999996</v>
      </c>
      <c r="K58" s="57">
        <f t="shared" si="32"/>
        <v>58690.14</v>
      </c>
      <c r="L58" s="58">
        <f>+J58-K58</f>
        <v>-1662.4100000000035</v>
      </c>
      <c r="M58" s="55">
        <f t="shared" si="37"/>
        <v>-65.54571803658878</v>
      </c>
      <c r="N58" s="29">
        <f>SUM(L58:M58)</f>
        <v>-1727.9557180365923</v>
      </c>
      <c r="O58" s="16">
        <f t="shared" si="26"/>
        <v>0</v>
      </c>
      <c r="P58" s="16">
        <f t="shared" si="27"/>
        <v>71</v>
      </c>
      <c r="Q58" s="16">
        <f t="shared" si="28"/>
        <v>92</v>
      </c>
      <c r="R58" s="16">
        <f t="shared" si="45"/>
        <v>92</v>
      </c>
      <c r="S58" s="16">
        <f t="shared" si="45"/>
        <v>90</v>
      </c>
      <c r="T58" s="16">
        <f t="shared" si="45"/>
        <v>91</v>
      </c>
      <c r="U58" s="16">
        <f t="shared" si="45"/>
        <v>0</v>
      </c>
      <c r="V58" s="106">
        <f t="shared" si="17"/>
        <v>0</v>
      </c>
      <c r="W58" s="141">
        <f t="shared" si="52"/>
        <v>0</v>
      </c>
      <c r="X58" s="63">
        <f>($L58+SUM($W58:W58))*(P$11*P58)</f>
        <v>-10.509619383561667</v>
      </c>
      <c r="Y58" s="63">
        <f>($L58+SUM($W58:X58))*(Q$11*Q58)</f>
        <v>-13.704190854676327</v>
      </c>
      <c r="Z58" s="63">
        <f>($L58+SUM($W58:Y58))*(R$11*R58)</f>
        <v>-13.816452582499565</v>
      </c>
      <c r="AA58" s="63">
        <f>($L58+SUM($W58:Z58))*(S$11*S58)</f>
        <v>-13.62681580479635</v>
      </c>
      <c r="AB58" s="63">
        <f>($L58+SUM($W58:AA58))*(T$11*T58)</f>
        <v>-13.888639411054868</v>
      </c>
      <c r="AC58" s="63">
        <f>($L58+SUM($W58:AB58))*(U$11*U58)</f>
        <v>0</v>
      </c>
      <c r="AD58" s="63">
        <f>($L58+SUM($W58:AC58))*(V$11*V58)</f>
        <v>0</v>
      </c>
      <c r="AE58" s="110">
        <f t="shared" si="51"/>
        <v>-65.54571803658878</v>
      </c>
    </row>
    <row r="59" spans="1:31" ht="12" customHeight="1">
      <c r="A59" s="16">
        <v>4</v>
      </c>
      <c r="B59" s="15">
        <f t="shared" si="16"/>
        <v>41730</v>
      </c>
      <c r="C59" s="243">
        <f t="shared" si="48"/>
        <v>41764</v>
      </c>
      <c r="D59" s="243">
        <f t="shared" si="48"/>
        <v>41779</v>
      </c>
      <c r="E59" s="30" t="s">
        <v>118</v>
      </c>
      <c r="F59" s="3">
        <v>9</v>
      </c>
      <c r="G59" s="362">
        <v>23</v>
      </c>
      <c r="H59" s="247">
        <f t="shared" si="50"/>
        <v>1586.22</v>
      </c>
      <c r="I59" s="247">
        <f t="shared" si="49"/>
        <v>1541.29</v>
      </c>
      <c r="J59" s="56">
        <f t="shared" si="9"/>
        <v>35449.67</v>
      </c>
      <c r="K59" s="57">
        <f t="shared" si="32"/>
        <v>36483.06</v>
      </c>
      <c r="L59" s="58">
        <f aca="true" t="shared" si="53" ref="L59:L69">+J59-K59</f>
        <v>-1033.3899999999994</v>
      </c>
      <c r="M59" s="55">
        <f t="shared" si="37"/>
        <v>-37.98843836088586</v>
      </c>
      <c r="N59" s="29">
        <f aca="true" t="shared" si="54" ref="N59:N69">SUM(L59:M59)</f>
        <v>-1071.3784383608852</v>
      </c>
      <c r="O59" s="16">
        <f aca="true" t="shared" si="55" ref="O59:U59">IF($D59&lt;O$8,O$12,IF($D59&lt;P$8,P$8-$D59,0))</f>
        <v>0</v>
      </c>
      <c r="P59" s="16">
        <f t="shared" si="55"/>
        <v>42</v>
      </c>
      <c r="Q59" s="16">
        <f t="shared" si="55"/>
        <v>92</v>
      </c>
      <c r="R59" s="16">
        <f t="shared" si="55"/>
        <v>92</v>
      </c>
      <c r="S59" s="16">
        <f t="shared" si="55"/>
        <v>90</v>
      </c>
      <c r="T59" s="16">
        <f t="shared" si="55"/>
        <v>91</v>
      </c>
      <c r="U59" s="16">
        <f t="shared" si="55"/>
        <v>0</v>
      </c>
      <c r="V59" s="106">
        <f>IF(W$8&lt;V$8,0,IF($D59&lt;V$8,V$12,IF($D59&lt;W$8,W$8-$D59,0)))</f>
        <v>0</v>
      </c>
      <c r="W59" s="141">
        <f>$L59*O$11*O59</f>
        <v>0</v>
      </c>
      <c r="X59" s="63">
        <f>($L59+SUM($W59:W59))*(P$11*P59)</f>
        <v>-3.8645954794520527</v>
      </c>
      <c r="Y59" s="63">
        <f>($L59+SUM($W59:X59))*(Q$11*Q59)</f>
        <v>-8.496962302694683</v>
      </c>
      <c r="Z59" s="63">
        <f>($L59+SUM($W59:Y59))*(R$11*R59)</f>
        <v>-8.566567555530456</v>
      </c>
      <c r="AA59" s="63">
        <f>($L59+SUM($W59:Z59))*(S$11*S59)</f>
        <v>-8.448987716747133</v>
      </c>
      <c r="AB59" s="63">
        <f>($L59+SUM($W59:AA59))*(T$11*T59)</f>
        <v>-8.61132530646153</v>
      </c>
      <c r="AC59" s="63">
        <f>($L59+SUM($W59:AB59))*(U$11*U59)</f>
        <v>0</v>
      </c>
      <c r="AD59" s="63">
        <f>($L59+SUM($W59:AC59))*(V$11*V59)</f>
        <v>0</v>
      </c>
      <c r="AE59" s="110">
        <f t="shared" si="51"/>
        <v>-37.98843836088586</v>
      </c>
    </row>
    <row r="60" spans="1:31" ht="12" customHeight="1">
      <c r="A60" s="3">
        <v>5</v>
      </c>
      <c r="B60" s="15">
        <f t="shared" si="16"/>
        <v>41760</v>
      </c>
      <c r="C60" s="243">
        <f t="shared" si="48"/>
        <v>41794</v>
      </c>
      <c r="D60" s="243">
        <f t="shared" si="48"/>
        <v>41809</v>
      </c>
      <c r="E60" s="30" t="s">
        <v>118</v>
      </c>
      <c r="F60" s="3">
        <v>9</v>
      </c>
      <c r="G60" s="362">
        <v>26</v>
      </c>
      <c r="H60" s="247">
        <f t="shared" si="50"/>
        <v>1586.22</v>
      </c>
      <c r="I60" s="247">
        <f t="shared" si="49"/>
        <v>1541.29</v>
      </c>
      <c r="J60" s="56">
        <f t="shared" si="9"/>
        <v>40073.54</v>
      </c>
      <c r="K60" s="57">
        <f t="shared" si="32"/>
        <v>41241.72</v>
      </c>
      <c r="L60" s="58">
        <f t="shared" si="53"/>
        <v>-1168.1800000000003</v>
      </c>
      <c r="M60" s="55">
        <f t="shared" si="37"/>
        <v>-39.720312934509536</v>
      </c>
      <c r="N60" s="29">
        <f t="shared" si="54"/>
        <v>-1207.9003129345099</v>
      </c>
      <c r="O60" s="16">
        <f t="shared" si="26"/>
        <v>0</v>
      </c>
      <c r="P60" s="16">
        <f t="shared" si="27"/>
        <v>12</v>
      </c>
      <c r="Q60" s="16">
        <f t="shared" si="28"/>
        <v>92</v>
      </c>
      <c r="R60" s="16">
        <f t="shared" si="45"/>
        <v>92</v>
      </c>
      <c r="S60" s="16">
        <f t="shared" si="45"/>
        <v>90</v>
      </c>
      <c r="T60" s="16">
        <f t="shared" si="45"/>
        <v>91</v>
      </c>
      <c r="U60" s="16">
        <f t="shared" si="45"/>
        <v>0</v>
      </c>
      <c r="V60" s="106">
        <f t="shared" si="17"/>
        <v>0</v>
      </c>
      <c r="W60" s="141">
        <f t="shared" si="52"/>
        <v>0</v>
      </c>
      <c r="X60" s="63">
        <f>($L60+SUM($W60:W60))*(P$11*P60)</f>
        <v>-1.2481923287671237</v>
      </c>
      <c r="Y60" s="63">
        <f>($L60+SUM($W60:X60))*(Q$11*Q60)</f>
        <v>-9.579699438528806</v>
      </c>
      <c r="Z60" s="63">
        <f>($L60+SUM($W60:Y60))*(R$11*R60)</f>
        <v>-9.658174236669083</v>
      </c>
      <c r="AA60" s="63">
        <f>($L60+SUM($W60:Z60))*(S$11*S60)</f>
        <v>-9.525611624826297</v>
      </c>
      <c r="AB60" s="63">
        <f>($L60+SUM($W60:AA60))*(T$11*T60)</f>
        <v>-9.708635305718223</v>
      </c>
      <c r="AC60" s="63">
        <f>($L60+SUM($W60:AB60))*(U$11*U60)</f>
        <v>0</v>
      </c>
      <c r="AD60" s="63">
        <f>($L60+SUM($W60:AC60))*(V$11*V60)</f>
        <v>0</v>
      </c>
      <c r="AE60" s="110">
        <f t="shared" si="51"/>
        <v>-39.720312934509536</v>
      </c>
    </row>
    <row r="61" spans="1:31" ht="12.75">
      <c r="A61" s="3">
        <v>6</v>
      </c>
      <c r="B61" s="15">
        <f t="shared" si="16"/>
        <v>41791</v>
      </c>
      <c r="C61" s="243">
        <f t="shared" si="48"/>
        <v>41823</v>
      </c>
      <c r="D61" s="243">
        <f t="shared" si="48"/>
        <v>41838</v>
      </c>
      <c r="E61" s="30" t="s">
        <v>118</v>
      </c>
      <c r="F61" s="3">
        <v>9</v>
      </c>
      <c r="G61" s="362">
        <v>31</v>
      </c>
      <c r="H61" s="247">
        <f t="shared" si="50"/>
        <v>1586.22</v>
      </c>
      <c r="I61" s="247">
        <f t="shared" si="49"/>
        <v>1541.29</v>
      </c>
      <c r="J61" s="56">
        <f t="shared" si="9"/>
        <v>47779.99</v>
      </c>
      <c r="K61" s="57">
        <f t="shared" si="32"/>
        <v>49172.82</v>
      </c>
      <c r="L61" s="77">
        <f t="shared" si="53"/>
        <v>-1392.8300000000017</v>
      </c>
      <c r="M61" s="78">
        <f t="shared" si="37"/>
        <v>-43.661654370567234</v>
      </c>
      <c r="N61" s="76">
        <f t="shared" si="54"/>
        <v>-1436.491654370569</v>
      </c>
      <c r="O61" s="16">
        <f t="shared" si="26"/>
        <v>0</v>
      </c>
      <c r="P61" s="16">
        <f t="shared" si="27"/>
        <v>0</v>
      </c>
      <c r="Q61" s="16">
        <f t="shared" si="28"/>
        <v>75</v>
      </c>
      <c r="R61" s="16">
        <f t="shared" si="45"/>
        <v>92</v>
      </c>
      <c r="S61" s="16">
        <f t="shared" si="45"/>
        <v>90</v>
      </c>
      <c r="T61" s="16">
        <f t="shared" si="45"/>
        <v>91</v>
      </c>
      <c r="U61" s="16">
        <f t="shared" si="45"/>
        <v>0</v>
      </c>
      <c r="V61" s="106">
        <f t="shared" si="17"/>
        <v>0</v>
      </c>
      <c r="W61" s="141">
        <f t="shared" si="52"/>
        <v>0</v>
      </c>
      <c r="X61" s="63">
        <f>($L61+SUM($W61:W61))*(P$11*P61)</f>
        <v>0</v>
      </c>
      <c r="Y61" s="63">
        <f>($L61+SUM($W61:X61))*(Q$11*Q61)</f>
        <v>-9.301433219178094</v>
      </c>
      <c r="Z61" s="63">
        <f>($L61+SUM($W61:Y61))*(R$11*R61)</f>
        <v>-11.485953384453007</v>
      </c>
      <c r="AA61" s="63">
        <f>($L61+SUM($W61:Z61))*(S$11*S61)</f>
        <v>-11.328303714563358</v>
      </c>
      <c r="AB61" s="63">
        <f>($L61+SUM($W61:AA61))*(T$11*T61)</f>
        <v>-11.545964052372783</v>
      </c>
      <c r="AC61" s="63">
        <f>($L61+SUM($W61:AB61))*(U$11*U61)</f>
        <v>0</v>
      </c>
      <c r="AD61" s="63">
        <f>($L61+SUM($W61:AC61))*(V$11*V61)</f>
        <v>0</v>
      </c>
      <c r="AE61" s="110">
        <f t="shared" si="51"/>
        <v>-43.661654370567234</v>
      </c>
    </row>
    <row r="62" spans="1:31" ht="12.75">
      <c r="A62" s="16">
        <v>7</v>
      </c>
      <c r="B62" s="15">
        <f t="shared" si="16"/>
        <v>41821</v>
      </c>
      <c r="C62" s="243">
        <f t="shared" si="48"/>
        <v>41856</v>
      </c>
      <c r="D62" s="243">
        <f t="shared" si="48"/>
        <v>41871</v>
      </c>
      <c r="E62" s="30" t="s">
        <v>118</v>
      </c>
      <c r="F62" s="3">
        <v>9</v>
      </c>
      <c r="G62" s="362">
        <v>32</v>
      </c>
      <c r="H62" s="247">
        <f aca="true" t="shared" si="56" ref="H62:H67">$K$8</f>
        <v>1586.06</v>
      </c>
      <c r="I62" s="247">
        <f t="shared" si="49"/>
        <v>1541.29</v>
      </c>
      <c r="J62" s="56">
        <f t="shared" si="9"/>
        <v>49321.28</v>
      </c>
      <c r="K62" s="74">
        <f t="shared" si="32"/>
        <v>50753.92</v>
      </c>
      <c r="L62" s="77">
        <f t="shared" si="53"/>
        <v>-1432.6399999999994</v>
      </c>
      <c r="M62" s="75">
        <f t="shared" si="37"/>
        <v>-40.5968299852341</v>
      </c>
      <c r="N62" s="76">
        <f t="shared" si="54"/>
        <v>-1473.2368299852335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45"/>
        <v>92</v>
      </c>
      <c r="S62" s="16">
        <f t="shared" si="45"/>
        <v>90</v>
      </c>
      <c r="T62" s="16">
        <f t="shared" si="45"/>
        <v>91</v>
      </c>
      <c r="U62" s="16">
        <f t="shared" si="45"/>
        <v>0</v>
      </c>
      <c r="V62" s="106">
        <f t="shared" si="17"/>
        <v>0</v>
      </c>
      <c r="W62" s="141">
        <f t="shared" si="52"/>
        <v>0</v>
      </c>
      <c r="X62" s="63">
        <f>($L62+SUM($W62:W62))*(P$11*P62)</f>
        <v>0</v>
      </c>
      <c r="Y62" s="63">
        <f>($L62+SUM($W62:X62))*(Q$11*Q62)</f>
        <v>-5.357681095890409</v>
      </c>
      <c r="Z62" s="63">
        <f>($L62+SUM($W62:Y62))*(R$11*R62)</f>
        <v>-11.77976182596359</v>
      </c>
      <c r="AA62" s="63">
        <f>($L62+SUM($W62:Z62))*(S$11*S62)</f>
        <v>-11.618079508346359</v>
      </c>
      <c r="AB62" s="63">
        <f>($L62+SUM($W62:AA62))*(T$11*T62)</f>
        <v>-11.841307555033744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57" ref="AE62:AE67">SUM(W62:AD62)</f>
        <v>-40.5968299852341</v>
      </c>
    </row>
    <row r="63" spans="1:31" ht="12.75">
      <c r="A63" s="3">
        <v>8</v>
      </c>
      <c r="B63" s="15">
        <f t="shared" si="16"/>
        <v>41852</v>
      </c>
      <c r="C63" s="243">
        <f t="shared" si="48"/>
        <v>41886</v>
      </c>
      <c r="D63" s="243">
        <f t="shared" si="48"/>
        <v>41901</v>
      </c>
      <c r="E63" s="30" t="s">
        <v>118</v>
      </c>
      <c r="F63" s="3">
        <v>9</v>
      </c>
      <c r="G63" s="362">
        <v>32</v>
      </c>
      <c r="H63" s="247">
        <f t="shared" si="56"/>
        <v>1586.06</v>
      </c>
      <c r="I63" s="247">
        <f t="shared" si="49"/>
        <v>1541.29</v>
      </c>
      <c r="J63" s="56">
        <f t="shared" si="9"/>
        <v>49321.28</v>
      </c>
      <c r="K63" s="74">
        <f t="shared" si="32"/>
        <v>50753.92</v>
      </c>
      <c r="L63" s="77">
        <f t="shared" si="53"/>
        <v>-1432.6399999999994</v>
      </c>
      <c r="M63" s="75">
        <f t="shared" si="37"/>
        <v>-36.67613365988751</v>
      </c>
      <c r="N63" s="76">
        <f t="shared" si="54"/>
        <v>-1469.3161336598869</v>
      </c>
      <c r="O63" s="16">
        <f t="shared" si="26"/>
        <v>0</v>
      </c>
      <c r="P63" s="16">
        <f t="shared" si="27"/>
        <v>0</v>
      </c>
      <c r="Q63" s="16">
        <f t="shared" si="28"/>
        <v>12</v>
      </c>
      <c r="R63" s="16">
        <f aca="true" t="shared" si="58" ref="R63:U77">IF($D63&lt;R$8,R$12,IF($D63&lt;S$8,S$8-$D63,0))</f>
        <v>92</v>
      </c>
      <c r="S63" s="16">
        <f t="shared" si="58"/>
        <v>90</v>
      </c>
      <c r="T63" s="16">
        <f t="shared" si="58"/>
        <v>91</v>
      </c>
      <c r="U63" s="16">
        <f t="shared" si="58"/>
        <v>0</v>
      </c>
      <c r="V63" s="106">
        <f t="shared" si="17"/>
        <v>0</v>
      </c>
      <c r="W63" s="141">
        <f t="shared" si="52"/>
        <v>0</v>
      </c>
      <c r="X63" s="63">
        <f>($L63+SUM($W63:W63))*(P$11*P63)</f>
        <v>0</v>
      </c>
      <c r="Y63" s="63">
        <f>($L63+SUM($W63:X63))*(Q$11*Q63)</f>
        <v>-1.5307660273972596</v>
      </c>
      <c r="Z63" s="63">
        <f>($L63+SUM($W63:Y63))*(R$11*R63)</f>
        <v>-11.7484125764984</v>
      </c>
      <c r="AA63" s="63">
        <f>($L63+SUM($W63:Z63))*(S$11*S63)</f>
        <v>-11.58716054086683</v>
      </c>
      <c r="AB63" s="63">
        <f>($L63+SUM($W63:AA63))*(T$11*T63)</f>
        <v>-11.809794515125022</v>
      </c>
      <c r="AC63" s="63">
        <f>($L63+SUM($W63:AB63))*(U$11*U63)</f>
        <v>0</v>
      </c>
      <c r="AD63" s="63">
        <f>($L63+SUM($W63:AC63))*(V$11*V63)</f>
        <v>0</v>
      </c>
      <c r="AE63" s="110">
        <f t="shared" si="57"/>
        <v>-36.67613365988751</v>
      </c>
    </row>
    <row r="64" spans="1:31" ht="12.75">
      <c r="A64" s="3">
        <v>9</v>
      </c>
      <c r="B64" s="15">
        <f t="shared" si="16"/>
        <v>41883</v>
      </c>
      <c r="C64" s="243">
        <f t="shared" si="48"/>
        <v>41915</v>
      </c>
      <c r="D64" s="243">
        <f t="shared" si="48"/>
        <v>41932</v>
      </c>
      <c r="E64" s="30" t="s">
        <v>118</v>
      </c>
      <c r="F64" s="3">
        <v>9</v>
      </c>
      <c r="G64" s="362">
        <v>32</v>
      </c>
      <c r="H64" s="247">
        <f t="shared" si="56"/>
        <v>1586.06</v>
      </c>
      <c r="I64" s="247">
        <f t="shared" si="49"/>
        <v>1541.29</v>
      </c>
      <c r="J64" s="56">
        <f t="shared" si="9"/>
        <v>49321.28</v>
      </c>
      <c r="K64" s="74">
        <f t="shared" si="32"/>
        <v>50753.92</v>
      </c>
      <c r="L64" s="77">
        <f t="shared" si="53"/>
        <v>-1432.6399999999994</v>
      </c>
      <c r="M64" s="75">
        <f t="shared" si="37"/>
        <v>-32.6449232551256</v>
      </c>
      <c r="N64" s="76">
        <f t="shared" si="54"/>
        <v>-1465.284923255125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58"/>
        <v>73</v>
      </c>
      <c r="S64" s="16">
        <f t="shared" si="58"/>
        <v>90</v>
      </c>
      <c r="T64" s="16">
        <f t="shared" si="58"/>
        <v>91</v>
      </c>
      <c r="U64" s="16">
        <f t="shared" si="58"/>
        <v>0</v>
      </c>
      <c r="V64" s="106">
        <f t="shared" si="17"/>
        <v>0</v>
      </c>
      <c r="W64" s="141">
        <f t="shared" si="52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-9.312159999999995</v>
      </c>
      <c r="AA64" s="63">
        <f>($L64+SUM($W64:Z64))*(S$11*S64)</f>
        <v>-11.555370049315062</v>
      </c>
      <c r="AB64" s="63">
        <f>($L64+SUM($W64:AA64))*(T$11*T64)</f>
        <v>-11.777393205810542</v>
      </c>
      <c r="AC64" s="63">
        <f>($L64+SUM($W64:AB64))*(U$11*U64)</f>
        <v>0</v>
      </c>
      <c r="AD64" s="63">
        <f>($L64+SUM($W64:AC64))*(V$11*V64)</f>
        <v>0</v>
      </c>
      <c r="AE64" s="110">
        <f t="shared" si="57"/>
        <v>-32.6449232551256</v>
      </c>
    </row>
    <row r="65" spans="1:31" ht="12.75">
      <c r="A65" s="16">
        <v>10</v>
      </c>
      <c r="B65" s="15">
        <f t="shared" si="16"/>
        <v>41913</v>
      </c>
      <c r="C65" s="243">
        <f t="shared" si="48"/>
        <v>41948</v>
      </c>
      <c r="D65" s="243">
        <f t="shared" si="48"/>
        <v>41963</v>
      </c>
      <c r="E65" s="30" t="s">
        <v>118</v>
      </c>
      <c r="F65" s="3">
        <v>9</v>
      </c>
      <c r="G65" s="362">
        <v>26</v>
      </c>
      <c r="H65" s="247">
        <f t="shared" si="56"/>
        <v>1586.06</v>
      </c>
      <c r="I65" s="247">
        <f t="shared" si="49"/>
        <v>1541.29</v>
      </c>
      <c r="J65" s="56">
        <f t="shared" si="9"/>
        <v>40073.54</v>
      </c>
      <c r="K65" s="74">
        <f t="shared" si="32"/>
        <v>41237.56</v>
      </c>
      <c r="L65" s="77">
        <f t="shared" si="53"/>
        <v>-1164.0199999999968</v>
      </c>
      <c r="M65" s="75">
        <f t="shared" si="37"/>
        <v>-23.25899506099614</v>
      </c>
      <c r="N65" s="76">
        <f t="shared" si="54"/>
        <v>-1187.2789950609929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58"/>
        <v>42</v>
      </c>
      <c r="S65" s="16">
        <f t="shared" si="58"/>
        <v>90</v>
      </c>
      <c r="T65" s="16">
        <f t="shared" si="58"/>
        <v>91</v>
      </c>
      <c r="U65" s="16">
        <f t="shared" si="58"/>
        <v>0</v>
      </c>
      <c r="V65" s="106">
        <f t="shared" si="17"/>
        <v>0</v>
      </c>
      <c r="W65" s="141">
        <f t="shared" si="52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-4.353115890410947</v>
      </c>
      <c r="AA65" s="63">
        <f>($L65+SUM($W65:Z65))*(S$11*S65)</f>
        <v>-9.362990038299841</v>
      </c>
      <c r="AB65" s="63">
        <f>($L65+SUM($W65:AA65))*(T$11*T65)</f>
        <v>-9.54288913228535</v>
      </c>
      <c r="AC65" s="63">
        <f>($L65+SUM($W65:AB65))*(U$11*U65)</f>
        <v>0</v>
      </c>
      <c r="AD65" s="63">
        <f>($L65+SUM($W65:AC65))*(V$11*V65)</f>
        <v>0</v>
      </c>
      <c r="AE65" s="110">
        <f t="shared" si="57"/>
        <v>-23.25899506099614</v>
      </c>
    </row>
    <row r="66" spans="1:31" ht="12.75">
      <c r="A66" s="3">
        <v>11</v>
      </c>
      <c r="B66" s="15">
        <f t="shared" si="16"/>
        <v>41944</v>
      </c>
      <c r="C66" s="243">
        <f t="shared" si="48"/>
        <v>41976</v>
      </c>
      <c r="D66" s="243">
        <f t="shared" si="48"/>
        <v>41991</v>
      </c>
      <c r="E66" s="30" t="s">
        <v>118</v>
      </c>
      <c r="F66" s="3">
        <v>9</v>
      </c>
      <c r="G66" s="362">
        <v>30</v>
      </c>
      <c r="H66" s="247">
        <f t="shared" si="56"/>
        <v>1586.06</v>
      </c>
      <c r="I66" s="247">
        <f t="shared" si="49"/>
        <v>1541.29</v>
      </c>
      <c r="J66" s="56">
        <f t="shared" si="9"/>
        <v>46238.7</v>
      </c>
      <c r="K66" s="74">
        <f t="shared" si="32"/>
        <v>47581.799999999996</v>
      </c>
      <c r="L66" s="77">
        <f t="shared" si="53"/>
        <v>-1343.0999999999985</v>
      </c>
      <c r="M66" s="75">
        <f t="shared" si="37"/>
        <v>-23.434567166674974</v>
      </c>
      <c r="N66" s="76">
        <f t="shared" si="54"/>
        <v>-1366.5345671666735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58"/>
        <v>14</v>
      </c>
      <c r="S66" s="16">
        <f t="shared" si="58"/>
        <v>90</v>
      </c>
      <c r="T66" s="16">
        <f t="shared" si="58"/>
        <v>91</v>
      </c>
      <c r="U66" s="16">
        <f t="shared" si="58"/>
        <v>0</v>
      </c>
      <c r="V66" s="106">
        <f t="shared" si="17"/>
        <v>0</v>
      </c>
      <c r="W66" s="141">
        <f t="shared" si="52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-1.6742753424657517</v>
      </c>
      <c r="AA66" s="63">
        <f>($L66+SUM($W66:Z66))*(S$11*S66)</f>
        <v>-10.776615768155363</v>
      </c>
      <c r="AB66" s="63">
        <f>($L66+SUM($W66:AA66))*(T$11*T66)</f>
        <v>-10.983676056053858</v>
      </c>
      <c r="AC66" s="63">
        <f>($L66+SUM($W66:AB66))*(U$11*U66)</f>
        <v>0</v>
      </c>
      <c r="AD66" s="63">
        <f>($L66+SUM($W66:AC66))*(V$11*V66)</f>
        <v>0</v>
      </c>
      <c r="AE66" s="110">
        <f t="shared" si="57"/>
        <v>-23.434567166674974</v>
      </c>
    </row>
    <row r="67" spans="1:31" s="69" customFormat="1" ht="12.75">
      <c r="A67" s="3">
        <v>12</v>
      </c>
      <c r="B67" s="83">
        <f t="shared" si="16"/>
        <v>41974</v>
      </c>
      <c r="C67" s="243">
        <f t="shared" si="48"/>
        <v>42010</v>
      </c>
      <c r="D67" s="243">
        <f t="shared" si="48"/>
        <v>42025</v>
      </c>
      <c r="E67" s="84" t="s">
        <v>118</v>
      </c>
      <c r="F67" s="81">
        <v>9</v>
      </c>
      <c r="G67" s="363">
        <v>29</v>
      </c>
      <c r="H67" s="248">
        <f t="shared" si="56"/>
        <v>1586.06</v>
      </c>
      <c r="I67" s="248">
        <f t="shared" si="49"/>
        <v>1541.29</v>
      </c>
      <c r="J67" s="85">
        <f t="shared" si="9"/>
        <v>44697.409999999996</v>
      </c>
      <c r="K67" s="86">
        <f t="shared" si="32"/>
        <v>45995.74</v>
      </c>
      <c r="L67" s="87">
        <f t="shared" si="53"/>
        <v>-1298.3300000000017</v>
      </c>
      <c r="M67" s="88">
        <f t="shared" si="37"/>
        <v>-18.677930940837896</v>
      </c>
      <c r="N67" s="89">
        <f t="shared" si="54"/>
        <v>-1317.0079309408397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58"/>
        <v>0</v>
      </c>
      <c r="S67" s="81">
        <f t="shared" si="58"/>
        <v>70</v>
      </c>
      <c r="T67" s="81">
        <f t="shared" si="58"/>
        <v>91</v>
      </c>
      <c r="U67" s="81">
        <f t="shared" si="58"/>
        <v>0</v>
      </c>
      <c r="V67" s="107">
        <f t="shared" si="17"/>
        <v>0</v>
      </c>
      <c r="W67" s="142">
        <f t="shared" si="52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-8.09233082191782</v>
      </c>
      <c r="AB67" s="90">
        <f>($L67+SUM($W67:AA67))*(T$11*T67)</f>
        <v>-10.585600118920075</v>
      </c>
      <c r="AC67" s="90">
        <f>($L67+SUM($W67:AB67))*(U$11*U67)</f>
        <v>0</v>
      </c>
      <c r="AD67" s="90">
        <f>($L67+SUM($W67:AC67))*(V$11*V67)</f>
        <v>0</v>
      </c>
      <c r="AE67" s="111">
        <f t="shared" si="57"/>
        <v>-18.677930940837896</v>
      </c>
    </row>
    <row r="68" spans="1:31" ht="12.75">
      <c r="A68" s="16">
        <v>1</v>
      </c>
      <c r="B68" s="15">
        <f t="shared" si="16"/>
        <v>41640</v>
      </c>
      <c r="C68" s="242">
        <f t="shared" si="48"/>
        <v>41675</v>
      </c>
      <c r="D68" s="242">
        <f t="shared" si="48"/>
        <v>41690</v>
      </c>
      <c r="E68" s="118" t="s">
        <v>117</v>
      </c>
      <c r="F68" s="16">
        <v>9</v>
      </c>
      <c r="G68" s="362">
        <v>91</v>
      </c>
      <c r="H68" s="247">
        <f aca="true" t="shared" si="59" ref="H68:H73">$K$3</f>
        <v>1586.22</v>
      </c>
      <c r="I68" s="247">
        <f t="shared" si="49"/>
        <v>1541.29</v>
      </c>
      <c r="J68" s="56">
        <f t="shared" si="9"/>
        <v>140257.38999999998</v>
      </c>
      <c r="K68" s="57">
        <f t="shared" si="32"/>
        <v>144346.02</v>
      </c>
      <c r="L68" s="58">
        <f t="shared" si="53"/>
        <v>-4088.6300000000047</v>
      </c>
      <c r="M68" s="55">
        <f t="shared" si="37"/>
        <v>-183.89088599954027</v>
      </c>
      <c r="N68" s="29">
        <f t="shared" si="54"/>
        <v>-4272.520885999545</v>
      </c>
      <c r="O68" s="16">
        <f aca="true" t="shared" si="60" ref="O68:O91">IF($D68&lt;O$8,O$12,IF($D68&lt;P$8,P$8-$D68,0))</f>
        <v>40</v>
      </c>
      <c r="P68" s="16">
        <f aca="true" t="shared" si="61" ref="P68:P91">IF($D68&lt;P$8,P$12,IF($D68&lt;Q$8,Q$8-$D68,0))</f>
        <v>91</v>
      </c>
      <c r="Q68" s="16">
        <f aca="true" t="shared" si="62" ref="Q68:Q91">IF($D68&lt;Q$8,Q$12,IF($D68&lt;R$8,R$8-$D68,0))</f>
        <v>92</v>
      </c>
      <c r="R68" s="16">
        <f t="shared" si="58"/>
        <v>92</v>
      </c>
      <c r="S68" s="16">
        <f t="shared" si="58"/>
        <v>90</v>
      </c>
      <c r="T68" s="16">
        <f t="shared" si="58"/>
        <v>91</v>
      </c>
      <c r="U68" s="16">
        <f t="shared" si="58"/>
        <v>0</v>
      </c>
      <c r="V68" s="106">
        <f>IF(W$8&lt;V$8,0,IF($D68&lt;V$8,V$12,IF($D68&lt;W$8,W$8-$D68,0)))</f>
        <v>0</v>
      </c>
      <c r="W68" s="141">
        <f>$L68*O$11*O68</f>
        <v>-14.562243835616455</v>
      </c>
      <c r="X68" s="63">
        <f>($L68+SUM($W68:W68))*(P$11*P68)</f>
        <v>-33.24709879765439</v>
      </c>
      <c r="Y68" s="63">
        <f>($L68+SUM($W68:X68))*(Q$11*Q68)</f>
        <v>-33.88480447800957</v>
      </c>
      <c r="Z68" s="63">
        <f>($L68+SUM($W68:Y68))*(R$11*R68)</f>
        <v>-34.162381369486965</v>
      </c>
      <c r="AA68" s="63">
        <f>($L68+SUM($W68:Z68))*(S$11*S68)</f>
        <v>-33.69348793371577</v>
      </c>
      <c r="AB68" s="63">
        <f>($L68+SUM($W68:AA68))*(T$11*T68)</f>
        <v>-34.34086958505712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3" ref="AE68:AE73">SUM(W68:AD68)</f>
        <v>-183.89088599954027</v>
      </c>
    </row>
    <row r="69" spans="1:31" ht="12.75">
      <c r="A69" s="3">
        <v>2</v>
      </c>
      <c r="B69" s="15">
        <f t="shared" si="16"/>
        <v>41671</v>
      </c>
      <c r="C69" s="243">
        <f t="shared" si="48"/>
        <v>41703</v>
      </c>
      <c r="D69" s="243">
        <f t="shared" si="48"/>
        <v>41718</v>
      </c>
      <c r="E69" s="70" t="s">
        <v>117</v>
      </c>
      <c r="F69" s="3">
        <v>9</v>
      </c>
      <c r="G69" s="362">
        <v>99</v>
      </c>
      <c r="H69" s="247">
        <f t="shared" si="59"/>
        <v>1586.22</v>
      </c>
      <c r="I69" s="247">
        <f t="shared" si="49"/>
        <v>1541.29</v>
      </c>
      <c r="J69" s="56">
        <f t="shared" si="9"/>
        <v>152587.71</v>
      </c>
      <c r="K69" s="57">
        <f t="shared" si="32"/>
        <v>157035.78</v>
      </c>
      <c r="L69" s="58">
        <f t="shared" si="53"/>
        <v>-4448.070000000007</v>
      </c>
      <c r="M69" s="55">
        <f t="shared" si="37"/>
        <v>-188.50976398981894</v>
      </c>
      <c r="N69" s="29">
        <f t="shared" si="54"/>
        <v>-4636.579763989826</v>
      </c>
      <c r="O69" s="16">
        <f t="shared" si="60"/>
        <v>12</v>
      </c>
      <c r="P69" s="16">
        <f t="shared" si="61"/>
        <v>91</v>
      </c>
      <c r="Q69" s="16">
        <f t="shared" si="62"/>
        <v>92</v>
      </c>
      <c r="R69" s="16">
        <f t="shared" si="58"/>
        <v>92</v>
      </c>
      <c r="S69" s="16">
        <f t="shared" si="58"/>
        <v>90</v>
      </c>
      <c r="T69" s="16">
        <f t="shared" si="58"/>
        <v>91</v>
      </c>
      <c r="U69" s="16">
        <f t="shared" si="58"/>
        <v>0</v>
      </c>
      <c r="V69" s="106">
        <f t="shared" si="17"/>
        <v>0</v>
      </c>
      <c r="W69" s="141">
        <f aca="true" t="shared" si="64" ref="W69:W79">$L69*O$11*O69</f>
        <v>-4.752732328767131</v>
      </c>
      <c r="X69" s="63">
        <f>($L69+SUM($W69:W69))*(P$11*P69)</f>
        <v>-36.08006364619821</v>
      </c>
      <c r="Y69" s="63">
        <f>($L69+SUM($W69:X69))*(Q$11*Q69)</f>
        <v>-36.772107835521</v>
      </c>
      <c r="Z69" s="63">
        <f>($L69+SUM($W69:Y69))*(R$11*R69)</f>
        <v>-37.07333688326952</v>
      </c>
      <c r="AA69" s="63">
        <f>($L69+SUM($W69:Z69))*(S$11*S69)</f>
        <v>-36.56448932610755</v>
      </c>
      <c r="AB69" s="63">
        <f>($L69+SUM($W69:AA69))*(T$11*T69)</f>
        <v>-37.26703396995553</v>
      </c>
      <c r="AC69" s="63">
        <f>($L69+SUM($W69:AB69))*(U$11*U69)</f>
        <v>0</v>
      </c>
      <c r="AD69" s="63">
        <f>($L69+SUM($W69:AC69))*(V$11*V69)</f>
        <v>0</v>
      </c>
      <c r="AE69" s="110">
        <f t="shared" si="63"/>
        <v>-188.50976398981894</v>
      </c>
    </row>
    <row r="70" spans="1:31" ht="12.75">
      <c r="A70" s="3">
        <v>3</v>
      </c>
      <c r="B70" s="15">
        <f t="shared" si="16"/>
        <v>41699</v>
      </c>
      <c r="C70" s="243">
        <f t="shared" si="48"/>
        <v>41733</v>
      </c>
      <c r="D70" s="243">
        <f t="shared" si="48"/>
        <v>41750</v>
      </c>
      <c r="E70" s="70" t="s">
        <v>117</v>
      </c>
      <c r="F70" s="3">
        <v>9</v>
      </c>
      <c r="G70" s="362">
        <v>94</v>
      </c>
      <c r="H70" s="247">
        <f t="shared" si="59"/>
        <v>1586.22</v>
      </c>
      <c r="I70" s="247">
        <f t="shared" si="49"/>
        <v>1541.29</v>
      </c>
      <c r="J70" s="56">
        <f t="shared" si="9"/>
        <v>144881.26</v>
      </c>
      <c r="K70" s="57">
        <f aca="true" t="shared" si="65" ref="K70:K133">+$G70*H70</f>
        <v>149104.68</v>
      </c>
      <c r="L70" s="58">
        <f>+J70-K70</f>
        <v>-4223.419999999984</v>
      </c>
      <c r="M70" s="55">
        <f t="shared" si="37"/>
        <v>-166.52155393079212</v>
      </c>
      <c r="N70" s="29">
        <f>SUM(L70:M70)</f>
        <v>-4389.941553930776</v>
      </c>
      <c r="O70" s="16">
        <f aca="true" t="shared" si="66" ref="O70:U70">IF($D70&lt;O$8,O$12,IF($D70&lt;P$8,P$8-$D70,0))</f>
        <v>0</v>
      </c>
      <c r="P70" s="16">
        <f t="shared" si="66"/>
        <v>71</v>
      </c>
      <c r="Q70" s="16">
        <f t="shared" si="66"/>
        <v>92</v>
      </c>
      <c r="R70" s="16">
        <f t="shared" si="66"/>
        <v>92</v>
      </c>
      <c r="S70" s="16">
        <f t="shared" si="66"/>
        <v>90</v>
      </c>
      <c r="T70" s="16">
        <f t="shared" si="66"/>
        <v>91</v>
      </c>
      <c r="U70" s="16">
        <f t="shared" si="66"/>
        <v>0</v>
      </c>
      <c r="V70" s="106">
        <f>IF(W$8&lt;V$8,0,IF($D70&lt;V$8,V$12,IF($D70&lt;W$8,W$8-$D70,0)))</f>
        <v>0</v>
      </c>
      <c r="W70" s="141">
        <f>$L70*O$11*O70</f>
        <v>0</v>
      </c>
      <c r="X70" s="63">
        <f>($L70+SUM($W70:W70))*(P$11*P70)</f>
        <v>-26.700114109588938</v>
      </c>
      <c r="Y70" s="63">
        <f>($L70+SUM($W70:X70))*(Q$11*Q70)</f>
        <v>-34.81605244160992</v>
      </c>
      <c r="Z70" s="63">
        <f>($L70+SUM($W70:Y70))*(R$11*R70)</f>
        <v>-35.101257912295985</v>
      </c>
      <c r="AA70" s="63">
        <f>($L70+SUM($W70:Z70))*(S$11*S70)</f>
        <v>-34.61947799056349</v>
      </c>
      <c r="AB70" s="63">
        <f>($L70+SUM($W70:AA70))*(T$11*T70)</f>
        <v>-35.28465147673378</v>
      </c>
      <c r="AC70" s="63">
        <f>($L70+SUM($W70:AB70))*(U$11*U70)</f>
        <v>0</v>
      </c>
      <c r="AD70" s="63">
        <f>($L70+SUM($W70:AC70))*(V$11*V70)</f>
        <v>0</v>
      </c>
      <c r="AE70" s="110">
        <f t="shared" si="63"/>
        <v>-166.52155393079212</v>
      </c>
    </row>
    <row r="71" spans="1:31" ht="12.75">
      <c r="A71" s="16">
        <v>4</v>
      </c>
      <c r="B71" s="15">
        <f t="shared" si="16"/>
        <v>41730</v>
      </c>
      <c r="C71" s="243">
        <f t="shared" si="48"/>
        <v>41764</v>
      </c>
      <c r="D71" s="243">
        <f t="shared" si="48"/>
        <v>41779</v>
      </c>
      <c r="E71" s="70" t="s">
        <v>117</v>
      </c>
      <c r="F71" s="3">
        <v>9</v>
      </c>
      <c r="G71" s="362">
        <v>84</v>
      </c>
      <c r="H71" s="247">
        <f t="shared" si="59"/>
        <v>1586.22</v>
      </c>
      <c r="I71" s="247">
        <f t="shared" si="49"/>
        <v>1541.29</v>
      </c>
      <c r="J71" s="56">
        <f t="shared" si="9"/>
        <v>129468.36</v>
      </c>
      <c r="K71" s="57">
        <f t="shared" si="65"/>
        <v>133242.48</v>
      </c>
      <c r="L71" s="58">
        <f aca="true" t="shared" si="67" ref="L71:L81">+J71-K71</f>
        <v>-3774.12000000001</v>
      </c>
      <c r="M71" s="55">
        <f t="shared" si="37"/>
        <v>-138.74038357888793</v>
      </c>
      <c r="N71" s="29">
        <f aca="true" t="shared" si="68" ref="N71:N81">SUM(L71:M71)</f>
        <v>-3912.8603835788977</v>
      </c>
      <c r="O71" s="16">
        <f t="shared" si="60"/>
        <v>0</v>
      </c>
      <c r="P71" s="16">
        <f t="shared" si="61"/>
        <v>42</v>
      </c>
      <c r="Q71" s="16">
        <f t="shared" si="62"/>
        <v>92</v>
      </c>
      <c r="R71" s="16">
        <f t="shared" si="58"/>
        <v>92</v>
      </c>
      <c r="S71" s="16">
        <f t="shared" si="58"/>
        <v>90</v>
      </c>
      <c r="T71" s="16">
        <f t="shared" si="58"/>
        <v>91</v>
      </c>
      <c r="U71" s="16">
        <f t="shared" si="58"/>
        <v>0</v>
      </c>
      <c r="V71" s="106">
        <f t="shared" si="17"/>
        <v>0</v>
      </c>
      <c r="W71" s="141">
        <f t="shared" si="64"/>
        <v>0</v>
      </c>
      <c r="X71" s="63">
        <f>($L71+SUM($W71:W71))*(P$11*P71)</f>
        <v>-14.114174794520585</v>
      </c>
      <c r="Y71" s="63">
        <f>($L71+SUM($W71:X71))*(Q$11*Q71)</f>
        <v>-31.032384062015467</v>
      </c>
      <c r="Z71" s="63">
        <f>($L71+SUM($W71:Y71))*(R$11*R71)</f>
        <v>-31.286594550633072</v>
      </c>
      <c r="AA71" s="63">
        <f>($L71+SUM($W71:Z71))*(S$11*S71)</f>
        <v>-30.85717253072876</v>
      </c>
      <c r="AB71" s="63">
        <f>($L71+SUM($W71:AA71))*(T$11*T71)</f>
        <v>-31.450057640990032</v>
      </c>
      <c r="AC71" s="63">
        <f>($L71+SUM($W71:AB71))*(U$11*U71)</f>
        <v>0</v>
      </c>
      <c r="AD71" s="63">
        <f>($L71+SUM($W71:AC71))*(V$11*V71)</f>
        <v>0</v>
      </c>
      <c r="AE71" s="110">
        <f t="shared" si="63"/>
        <v>-138.74038357888793</v>
      </c>
    </row>
    <row r="72" spans="1:31" ht="12.75">
      <c r="A72" s="3">
        <v>5</v>
      </c>
      <c r="B72" s="15">
        <f t="shared" si="16"/>
        <v>41760</v>
      </c>
      <c r="C72" s="243">
        <f aca="true" t="shared" si="69" ref="C72:D91">+C60</f>
        <v>41794</v>
      </c>
      <c r="D72" s="243">
        <f t="shared" si="69"/>
        <v>41809</v>
      </c>
      <c r="E72" s="30" t="s">
        <v>117</v>
      </c>
      <c r="F72" s="3">
        <v>9</v>
      </c>
      <c r="G72" s="362">
        <v>109</v>
      </c>
      <c r="H72" s="247">
        <f t="shared" si="59"/>
        <v>1586.22</v>
      </c>
      <c r="I72" s="247">
        <f t="shared" si="49"/>
        <v>1541.29</v>
      </c>
      <c r="J72" s="56">
        <f t="shared" si="9"/>
        <v>168000.61</v>
      </c>
      <c r="K72" s="57">
        <f t="shared" si="65"/>
        <v>172897.98</v>
      </c>
      <c r="L72" s="58">
        <f t="shared" si="67"/>
        <v>-4897.370000000024</v>
      </c>
      <c r="M72" s="55">
        <f t="shared" si="37"/>
        <v>-166.51977345621384</v>
      </c>
      <c r="N72" s="29">
        <f t="shared" si="68"/>
        <v>-5063.889773456238</v>
      </c>
      <c r="O72" s="16">
        <f t="shared" si="60"/>
        <v>0</v>
      </c>
      <c r="P72" s="16">
        <f t="shared" si="61"/>
        <v>12</v>
      </c>
      <c r="Q72" s="16">
        <f t="shared" si="62"/>
        <v>92</v>
      </c>
      <c r="R72" s="16">
        <f t="shared" si="58"/>
        <v>92</v>
      </c>
      <c r="S72" s="16">
        <f t="shared" si="58"/>
        <v>90</v>
      </c>
      <c r="T72" s="16">
        <f t="shared" si="58"/>
        <v>91</v>
      </c>
      <c r="U72" s="16">
        <f t="shared" si="58"/>
        <v>0</v>
      </c>
      <c r="V72" s="106">
        <f t="shared" si="17"/>
        <v>0</v>
      </c>
      <c r="W72" s="141">
        <f t="shared" si="64"/>
        <v>0</v>
      </c>
      <c r="X72" s="63">
        <f>($L72+SUM($W72:W72))*(P$11*P72)</f>
        <v>-5.232806301369889</v>
      </c>
      <c r="Y72" s="63">
        <f>($L72+SUM($W72:X72))*(Q$11*Q72)</f>
        <v>-40.16104764614019</v>
      </c>
      <c r="Z72" s="63">
        <f>($L72+SUM($W72:Y72))*(R$11*R72)</f>
        <v>-40.490038146035964</v>
      </c>
      <c r="AA72" s="63">
        <f>($L72+SUM($W72:Z72))*(S$11*S72)</f>
        <v>-39.93429488869505</v>
      </c>
      <c r="AB72" s="63">
        <f>($L72+SUM($W72:AA72))*(T$11*T72)</f>
        <v>-40.70158647397274</v>
      </c>
      <c r="AC72" s="63">
        <f>($L72+SUM($W72:AB72))*(U$11*U72)</f>
        <v>0</v>
      </c>
      <c r="AD72" s="63">
        <f>($L72+SUM($W72:AC72))*(V$11*V72)</f>
        <v>0</v>
      </c>
      <c r="AE72" s="110">
        <f t="shared" si="63"/>
        <v>-166.51977345621384</v>
      </c>
    </row>
    <row r="73" spans="1:31" ht="12.75">
      <c r="A73" s="3">
        <v>6</v>
      </c>
      <c r="B73" s="15">
        <f t="shared" si="16"/>
        <v>41791</v>
      </c>
      <c r="C73" s="243">
        <f t="shared" si="69"/>
        <v>41823</v>
      </c>
      <c r="D73" s="243">
        <f t="shared" si="69"/>
        <v>41838</v>
      </c>
      <c r="E73" s="30" t="s">
        <v>117</v>
      </c>
      <c r="F73" s="3">
        <v>9</v>
      </c>
      <c r="G73" s="362">
        <v>137</v>
      </c>
      <c r="H73" s="247">
        <f t="shared" si="59"/>
        <v>1586.22</v>
      </c>
      <c r="I73" s="247">
        <f t="shared" si="49"/>
        <v>1541.29</v>
      </c>
      <c r="J73" s="56">
        <f t="shared" si="9"/>
        <v>211156.72999999998</v>
      </c>
      <c r="K73" s="57">
        <f t="shared" si="65"/>
        <v>217312.14</v>
      </c>
      <c r="L73" s="77">
        <f t="shared" si="67"/>
        <v>-6155.410000000033</v>
      </c>
      <c r="M73" s="78">
        <f t="shared" si="37"/>
        <v>-192.95634350863665</v>
      </c>
      <c r="N73" s="76">
        <f t="shared" si="68"/>
        <v>-6348.366343508669</v>
      </c>
      <c r="O73" s="16">
        <f t="shared" si="60"/>
        <v>0</v>
      </c>
      <c r="P73" s="16">
        <f t="shared" si="61"/>
        <v>0</v>
      </c>
      <c r="Q73" s="16">
        <f t="shared" si="62"/>
        <v>75</v>
      </c>
      <c r="R73" s="16">
        <f t="shared" si="58"/>
        <v>92</v>
      </c>
      <c r="S73" s="16">
        <f t="shared" si="58"/>
        <v>90</v>
      </c>
      <c r="T73" s="16">
        <f t="shared" si="58"/>
        <v>91</v>
      </c>
      <c r="U73" s="16">
        <f t="shared" si="58"/>
        <v>0</v>
      </c>
      <c r="V73" s="106">
        <f t="shared" si="17"/>
        <v>0</v>
      </c>
      <c r="W73" s="141">
        <f t="shared" si="64"/>
        <v>0</v>
      </c>
      <c r="X73" s="63">
        <f>($L73+SUM($W73:W73))*(P$11*P73)</f>
        <v>0</v>
      </c>
      <c r="Y73" s="63">
        <f>($L73+SUM($W73:X73))*(Q$11*Q73)</f>
        <v>-41.10633390410981</v>
      </c>
      <c r="Z73" s="63">
        <f>($L73+SUM($W73:Y73))*(R$11*R73)</f>
        <v>-50.760503666776394</v>
      </c>
      <c r="AA73" s="63">
        <f>($L73+SUM($W73:Z73))*(S$11*S73)</f>
        <v>-50.06379383532859</v>
      </c>
      <c r="AB73" s="63">
        <f>($L73+SUM($W73:AA73))*(T$11*T73)</f>
        <v>-51.025712102421856</v>
      </c>
      <c r="AC73" s="63">
        <f>($L73+SUM($W73:AB73))*(U$11*U73)</f>
        <v>0</v>
      </c>
      <c r="AD73" s="63">
        <f>($L73+SUM($W73:AC73))*(V$11*V73)</f>
        <v>0</v>
      </c>
      <c r="AE73" s="110">
        <f t="shared" si="63"/>
        <v>-192.95634350863665</v>
      </c>
    </row>
    <row r="74" spans="1:31" ht="12.75">
      <c r="A74" s="16">
        <v>7</v>
      </c>
      <c r="B74" s="15">
        <f t="shared" si="16"/>
        <v>41821</v>
      </c>
      <c r="C74" s="243">
        <f t="shared" si="69"/>
        <v>41856</v>
      </c>
      <c r="D74" s="243">
        <f t="shared" si="69"/>
        <v>41871</v>
      </c>
      <c r="E74" s="30" t="s">
        <v>117</v>
      </c>
      <c r="F74" s="3">
        <v>9</v>
      </c>
      <c r="G74" s="362">
        <v>145</v>
      </c>
      <c r="H74" s="247">
        <f aca="true" t="shared" si="70" ref="H74:H79">$K$8</f>
        <v>1586.06</v>
      </c>
      <c r="I74" s="247">
        <f t="shared" si="49"/>
        <v>1541.29</v>
      </c>
      <c r="J74" s="56">
        <f t="shared" si="9"/>
        <v>223487.05</v>
      </c>
      <c r="K74" s="74">
        <f t="shared" si="65"/>
        <v>229978.69999999998</v>
      </c>
      <c r="L74" s="77">
        <f t="shared" si="67"/>
        <v>-6491.649999999994</v>
      </c>
      <c r="M74" s="75">
        <f aca="true" t="shared" si="71" ref="M74:M137">+AE74</f>
        <v>-183.95438587059192</v>
      </c>
      <c r="N74" s="76">
        <f t="shared" si="68"/>
        <v>-6675.604385870586</v>
      </c>
      <c r="O74" s="16">
        <f t="shared" si="60"/>
        <v>0</v>
      </c>
      <c r="P74" s="16">
        <f t="shared" si="61"/>
        <v>0</v>
      </c>
      <c r="Q74" s="16">
        <f t="shared" si="62"/>
        <v>42</v>
      </c>
      <c r="R74" s="16">
        <f t="shared" si="58"/>
        <v>92</v>
      </c>
      <c r="S74" s="16">
        <f t="shared" si="58"/>
        <v>90</v>
      </c>
      <c r="T74" s="16">
        <f t="shared" si="58"/>
        <v>91</v>
      </c>
      <c r="U74" s="16">
        <f t="shared" si="58"/>
        <v>0</v>
      </c>
      <c r="V74" s="106">
        <f t="shared" si="17"/>
        <v>0</v>
      </c>
      <c r="W74" s="141">
        <f t="shared" si="64"/>
        <v>0</v>
      </c>
      <c r="X74" s="63">
        <f>($L74+SUM($W74:W74))*(P$11*P74)</f>
        <v>0</v>
      </c>
      <c r="Y74" s="63">
        <f>($L74+SUM($W74:X74))*(Q$11*Q74)</f>
        <v>-24.276992465753402</v>
      </c>
      <c r="Z74" s="63">
        <f>($L74+SUM($W74:Y74))*(R$11*R74)</f>
        <v>-53.377045773897486</v>
      </c>
      <c r="AA74" s="63">
        <f>($L74+SUM($W74:Z74))*(S$11*S74)</f>
        <v>-52.64442277219441</v>
      </c>
      <c r="AB74" s="63">
        <f>($L74+SUM($W74:AA74))*(T$11*T74)</f>
        <v>-53.65592485874662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2" ref="AE74:AE79">SUM(W74:AD74)</f>
        <v>-183.95438587059192</v>
      </c>
    </row>
    <row r="75" spans="1:31" ht="12.75">
      <c r="A75" s="3">
        <v>8</v>
      </c>
      <c r="B75" s="15">
        <f t="shared" si="16"/>
        <v>41852</v>
      </c>
      <c r="C75" s="243">
        <f t="shared" si="69"/>
        <v>41886</v>
      </c>
      <c r="D75" s="243">
        <f t="shared" si="69"/>
        <v>41901</v>
      </c>
      <c r="E75" s="30" t="s">
        <v>117</v>
      </c>
      <c r="F75" s="3">
        <v>9</v>
      </c>
      <c r="G75" s="362">
        <v>153</v>
      </c>
      <c r="H75" s="247">
        <f t="shared" si="70"/>
        <v>1586.06</v>
      </c>
      <c r="I75" s="247">
        <f t="shared" si="49"/>
        <v>1541.29</v>
      </c>
      <c r="J75" s="56">
        <f t="shared" si="9"/>
        <v>235817.37</v>
      </c>
      <c r="K75" s="74">
        <f t="shared" si="65"/>
        <v>242667.18</v>
      </c>
      <c r="L75" s="77">
        <f t="shared" si="67"/>
        <v>-6849.809999999998</v>
      </c>
      <c r="M75" s="75">
        <f t="shared" si="71"/>
        <v>-175.35776406133718</v>
      </c>
      <c r="N75" s="76">
        <f t="shared" si="68"/>
        <v>-7025.167764061335</v>
      </c>
      <c r="O75" s="16">
        <f t="shared" si="60"/>
        <v>0</v>
      </c>
      <c r="P75" s="16">
        <f t="shared" si="61"/>
        <v>0</v>
      </c>
      <c r="Q75" s="16">
        <f t="shared" si="62"/>
        <v>12</v>
      </c>
      <c r="R75" s="16">
        <f t="shared" si="58"/>
        <v>92</v>
      </c>
      <c r="S75" s="16">
        <f t="shared" si="58"/>
        <v>90</v>
      </c>
      <c r="T75" s="16">
        <f t="shared" si="58"/>
        <v>91</v>
      </c>
      <c r="U75" s="16">
        <f t="shared" si="58"/>
        <v>0</v>
      </c>
      <c r="V75" s="106">
        <f t="shared" si="17"/>
        <v>0</v>
      </c>
      <c r="W75" s="141">
        <f t="shared" si="64"/>
        <v>0</v>
      </c>
      <c r="X75" s="63">
        <f>($L75+SUM($W75:W75))*(P$11*P75)</f>
        <v>0</v>
      </c>
      <c r="Y75" s="63">
        <f>($L75+SUM($W75:X75))*(Q$11*Q75)</f>
        <v>-7.318975068493148</v>
      </c>
      <c r="Z75" s="63">
        <f>($L75+SUM($W75:Y75))*(R$11*R75)</f>
        <v>-56.172097631382975</v>
      </c>
      <c r="AA75" s="63">
        <f>($L75+SUM($W75:Z75))*(S$11*S75)</f>
        <v>-55.40111133601953</v>
      </c>
      <c r="AB75" s="63">
        <f>($L75+SUM($W75:AA75))*(T$11*T75)</f>
        <v>-56.46558002544152</v>
      </c>
      <c r="AC75" s="63">
        <f>($L75+SUM($W75:AB75))*(U$11*U75)</f>
        <v>0</v>
      </c>
      <c r="AD75" s="63">
        <f>($L75+SUM($W75:AC75))*(V$11*V75)</f>
        <v>0</v>
      </c>
      <c r="AE75" s="110">
        <f t="shared" si="72"/>
        <v>-175.35776406133718</v>
      </c>
    </row>
    <row r="76" spans="1:31" ht="12.75">
      <c r="A76" s="3">
        <v>9</v>
      </c>
      <c r="B76" s="15">
        <f t="shared" si="16"/>
        <v>41883</v>
      </c>
      <c r="C76" s="243">
        <f t="shared" si="69"/>
        <v>41915</v>
      </c>
      <c r="D76" s="243">
        <f t="shared" si="69"/>
        <v>41932</v>
      </c>
      <c r="E76" s="30" t="s">
        <v>117</v>
      </c>
      <c r="F76" s="3">
        <v>9</v>
      </c>
      <c r="G76" s="362">
        <v>142</v>
      </c>
      <c r="H76" s="247">
        <f t="shared" si="70"/>
        <v>1586.06</v>
      </c>
      <c r="I76" s="247">
        <f t="shared" si="49"/>
        <v>1541.29</v>
      </c>
      <c r="J76" s="56">
        <f t="shared" si="9"/>
        <v>218863.18</v>
      </c>
      <c r="K76" s="74">
        <f t="shared" si="65"/>
        <v>225220.52</v>
      </c>
      <c r="L76" s="77">
        <f t="shared" si="67"/>
        <v>-6357.3399999999965</v>
      </c>
      <c r="M76" s="75">
        <f t="shared" si="71"/>
        <v>-144.86184694461986</v>
      </c>
      <c r="N76" s="76">
        <f t="shared" si="68"/>
        <v>-6502.201846944617</v>
      </c>
      <c r="O76" s="16">
        <f t="shared" si="60"/>
        <v>0</v>
      </c>
      <c r="P76" s="16">
        <f t="shared" si="61"/>
        <v>0</v>
      </c>
      <c r="Q76" s="16">
        <f t="shared" si="62"/>
        <v>0</v>
      </c>
      <c r="R76" s="16">
        <f t="shared" si="58"/>
        <v>73</v>
      </c>
      <c r="S76" s="16">
        <f t="shared" si="58"/>
        <v>90</v>
      </c>
      <c r="T76" s="16">
        <f t="shared" si="58"/>
        <v>91</v>
      </c>
      <c r="U76" s="16">
        <f t="shared" si="58"/>
        <v>0</v>
      </c>
      <c r="V76" s="106">
        <f t="shared" si="17"/>
        <v>0</v>
      </c>
      <c r="W76" s="141">
        <f t="shared" si="64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-41.32270999999997</v>
      </c>
      <c r="AA76" s="63">
        <f>($L76+SUM($W76:Z76))*(S$11*S76)</f>
        <v>-51.27695459383559</v>
      </c>
      <c r="AB76" s="63">
        <f>($L76+SUM($W76:AA76))*(T$11*T76)</f>
        <v>-52.26218235078427</v>
      </c>
      <c r="AC76" s="63">
        <f>($L76+SUM($W76:AB76))*(U$11*U76)</f>
        <v>0</v>
      </c>
      <c r="AD76" s="63">
        <f>($L76+SUM($W76:AC76))*(V$11*V76)</f>
        <v>0</v>
      </c>
      <c r="AE76" s="110">
        <f t="shared" si="72"/>
        <v>-144.86184694461986</v>
      </c>
    </row>
    <row r="77" spans="1:31" ht="12.75">
      <c r="A77" s="16">
        <v>10</v>
      </c>
      <c r="B77" s="15">
        <f t="shared" si="16"/>
        <v>41913</v>
      </c>
      <c r="C77" s="243">
        <f t="shared" si="69"/>
        <v>41948</v>
      </c>
      <c r="D77" s="243">
        <f t="shared" si="69"/>
        <v>41963</v>
      </c>
      <c r="E77" s="30" t="s">
        <v>117</v>
      </c>
      <c r="F77" s="3">
        <v>9</v>
      </c>
      <c r="G77" s="362">
        <v>125</v>
      </c>
      <c r="H77" s="247">
        <f t="shared" si="70"/>
        <v>1586.06</v>
      </c>
      <c r="I77" s="247">
        <f t="shared" si="49"/>
        <v>1541.29</v>
      </c>
      <c r="J77" s="56">
        <f t="shared" si="9"/>
        <v>192661.25</v>
      </c>
      <c r="K77" s="74">
        <f t="shared" si="65"/>
        <v>198257.5</v>
      </c>
      <c r="L77" s="77">
        <f t="shared" si="67"/>
        <v>-5596.25</v>
      </c>
      <c r="M77" s="75">
        <f t="shared" si="71"/>
        <v>-111.82209163940482</v>
      </c>
      <c r="N77" s="76">
        <f t="shared" si="68"/>
        <v>-5708.072091639405</v>
      </c>
      <c r="O77" s="16">
        <f t="shared" si="60"/>
        <v>0</v>
      </c>
      <c r="P77" s="16">
        <f t="shared" si="61"/>
        <v>0</v>
      </c>
      <c r="Q77" s="16">
        <f t="shared" si="62"/>
        <v>0</v>
      </c>
      <c r="R77" s="16">
        <f t="shared" si="58"/>
        <v>42</v>
      </c>
      <c r="S77" s="16">
        <f t="shared" si="58"/>
        <v>90</v>
      </c>
      <c r="T77" s="16">
        <f t="shared" si="58"/>
        <v>91</v>
      </c>
      <c r="U77" s="16">
        <f t="shared" si="58"/>
        <v>0</v>
      </c>
      <c r="V77" s="106">
        <f t="shared" si="17"/>
        <v>0</v>
      </c>
      <c r="W77" s="141">
        <f t="shared" si="64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-20.928441780821917</v>
      </c>
      <c r="AA77" s="63">
        <f>($L77+SUM($W77:Z77))*(S$11*S77)</f>
        <v>-45.01437518413398</v>
      </c>
      <c r="AB77" s="63">
        <f>($L77+SUM($W77:AA77))*(T$11*T77)</f>
        <v>-45.87927467444892</v>
      </c>
      <c r="AC77" s="63">
        <f>($L77+SUM($W77:AB77))*(U$11*U77)</f>
        <v>0</v>
      </c>
      <c r="AD77" s="63">
        <f>($L77+SUM($W77:AC77))*(V$11*V77)</f>
        <v>0</v>
      </c>
      <c r="AE77" s="110">
        <f t="shared" si="72"/>
        <v>-111.82209163940482</v>
      </c>
    </row>
    <row r="78" spans="1:31" ht="12.75">
      <c r="A78" s="3">
        <v>11</v>
      </c>
      <c r="B78" s="15">
        <f t="shared" si="16"/>
        <v>41944</v>
      </c>
      <c r="C78" s="243">
        <f t="shared" si="69"/>
        <v>41976</v>
      </c>
      <c r="D78" s="243">
        <f t="shared" si="69"/>
        <v>41991</v>
      </c>
      <c r="E78" s="30" t="s">
        <v>117</v>
      </c>
      <c r="F78" s="3">
        <v>9</v>
      </c>
      <c r="G78" s="362">
        <v>84</v>
      </c>
      <c r="H78" s="247">
        <f t="shared" si="70"/>
        <v>1586.06</v>
      </c>
      <c r="I78" s="247">
        <f t="shared" si="49"/>
        <v>1541.29</v>
      </c>
      <c r="J78" s="56">
        <f t="shared" si="9"/>
        <v>129468.36</v>
      </c>
      <c r="K78" s="74">
        <f t="shared" si="65"/>
        <v>133229.04</v>
      </c>
      <c r="L78" s="77">
        <f t="shared" si="67"/>
        <v>-3760.6800000000076</v>
      </c>
      <c r="M78" s="75">
        <f t="shared" si="71"/>
        <v>-65.61678806669013</v>
      </c>
      <c r="N78" s="76">
        <f t="shared" si="68"/>
        <v>-3826.296788066698</v>
      </c>
      <c r="O78" s="16">
        <f t="shared" si="60"/>
        <v>0</v>
      </c>
      <c r="P78" s="16">
        <f t="shared" si="61"/>
        <v>0</v>
      </c>
      <c r="Q78" s="16">
        <f t="shared" si="62"/>
        <v>0</v>
      </c>
      <c r="R78" s="16">
        <f aca="true" t="shared" si="73" ref="R78:R101">IF($D78&lt;R$8,R$12,IF($D78&lt;S$8,S$8-$D78,0))</f>
        <v>14</v>
      </c>
      <c r="S78" s="16">
        <f aca="true" t="shared" si="74" ref="S78:U101">IF($D78&lt;S$8,S$12,IF($D78&lt;T$8,T$8-$D78,0))</f>
        <v>90</v>
      </c>
      <c r="T78" s="16">
        <f t="shared" si="74"/>
        <v>91</v>
      </c>
      <c r="U78" s="16">
        <f t="shared" si="74"/>
        <v>0</v>
      </c>
      <c r="V78" s="106">
        <f t="shared" si="17"/>
        <v>0</v>
      </c>
      <c r="W78" s="141">
        <f t="shared" si="64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-4.687970958904119</v>
      </c>
      <c r="AA78" s="63">
        <f>($L78+SUM($W78:Z78))*(S$11*S78)</f>
        <v>-30.174524150835115</v>
      </c>
      <c r="AB78" s="63">
        <f>($L78+SUM($W78:AA78))*(T$11*T78)</f>
        <v>-30.75429295695089</v>
      </c>
      <c r="AC78" s="63">
        <f>($L78+SUM($W78:AB78))*(U$11*U78)</f>
        <v>0</v>
      </c>
      <c r="AD78" s="63">
        <f>($L78+SUM($W78:AC78))*(V$11*V78)</f>
        <v>0</v>
      </c>
      <c r="AE78" s="110">
        <f t="shared" si="72"/>
        <v>-65.61678806669013</v>
      </c>
    </row>
    <row r="79" spans="1:31" s="69" customFormat="1" ht="12.75">
      <c r="A79" s="3">
        <v>12</v>
      </c>
      <c r="B79" s="83">
        <f t="shared" si="16"/>
        <v>41974</v>
      </c>
      <c r="C79" s="243">
        <f t="shared" si="69"/>
        <v>42010</v>
      </c>
      <c r="D79" s="243">
        <f t="shared" si="69"/>
        <v>42025</v>
      </c>
      <c r="E79" s="84" t="s">
        <v>117</v>
      </c>
      <c r="F79" s="81">
        <v>9</v>
      </c>
      <c r="G79" s="363">
        <v>87</v>
      </c>
      <c r="H79" s="248">
        <f t="shared" si="70"/>
        <v>1586.06</v>
      </c>
      <c r="I79" s="248">
        <f t="shared" si="49"/>
        <v>1541.29</v>
      </c>
      <c r="J79" s="85">
        <f t="shared" si="9"/>
        <v>134092.23</v>
      </c>
      <c r="K79" s="86">
        <f t="shared" si="65"/>
        <v>137987.22</v>
      </c>
      <c r="L79" s="87">
        <f t="shared" si="67"/>
        <v>-3894.9899999999907</v>
      </c>
      <c r="M79" s="88">
        <f t="shared" si="71"/>
        <v>-56.03379282251347</v>
      </c>
      <c r="N79" s="89">
        <f t="shared" si="68"/>
        <v>-3951.023792822504</v>
      </c>
      <c r="O79" s="81">
        <f t="shared" si="60"/>
        <v>0</v>
      </c>
      <c r="P79" s="81">
        <f t="shared" si="61"/>
        <v>0</v>
      </c>
      <c r="Q79" s="81">
        <f t="shared" si="62"/>
        <v>0</v>
      </c>
      <c r="R79" s="81">
        <f t="shared" si="73"/>
        <v>0</v>
      </c>
      <c r="S79" s="81">
        <f t="shared" si="74"/>
        <v>70</v>
      </c>
      <c r="T79" s="81">
        <f t="shared" si="74"/>
        <v>91</v>
      </c>
      <c r="U79" s="81">
        <f t="shared" si="74"/>
        <v>0</v>
      </c>
      <c r="V79" s="107">
        <f t="shared" si="17"/>
        <v>0</v>
      </c>
      <c r="W79" s="142">
        <f t="shared" si="64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-24.276992465753366</v>
      </c>
      <c r="AB79" s="90">
        <f>($L79+SUM($W79:AA79))*(T$11*T79)</f>
        <v>-31.756800356760102</v>
      </c>
      <c r="AC79" s="90">
        <f>($L79+SUM($W79:AB79))*(U$11*U79)</f>
        <v>0</v>
      </c>
      <c r="AD79" s="90">
        <f>($L79+SUM($W79:AC79))*(V$11*V79)</f>
        <v>0</v>
      </c>
      <c r="AE79" s="111">
        <f t="shared" si="72"/>
        <v>-56.03379282251347</v>
      </c>
    </row>
    <row r="80" spans="1:31" ht="12.75">
      <c r="A80" s="16">
        <v>1</v>
      </c>
      <c r="B80" s="15">
        <f t="shared" si="16"/>
        <v>41640</v>
      </c>
      <c r="C80" s="242">
        <f t="shared" si="69"/>
        <v>41675</v>
      </c>
      <c r="D80" s="242">
        <f t="shared" si="69"/>
        <v>41690</v>
      </c>
      <c r="E80" s="118" t="s">
        <v>144</v>
      </c>
      <c r="F80" s="16">
        <v>9</v>
      </c>
      <c r="G80" s="362">
        <v>20</v>
      </c>
      <c r="H80" s="247">
        <f aca="true" t="shared" si="75" ref="H80:H85">$K$3</f>
        <v>1586.22</v>
      </c>
      <c r="I80" s="247">
        <f t="shared" si="49"/>
        <v>1541.29</v>
      </c>
      <c r="J80" s="56">
        <f t="shared" si="9"/>
        <v>30825.8</v>
      </c>
      <c r="K80" s="57">
        <f t="shared" si="65"/>
        <v>31724.4</v>
      </c>
      <c r="L80" s="58">
        <f t="shared" si="67"/>
        <v>-898.6000000000022</v>
      </c>
      <c r="M80" s="55">
        <f t="shared" si="71"/>
        <v>-40.41557934055835</v>
      </c>
      <c r="N80" s="29">
        <f t="shared" si="68"/>
        <v>-939.0155793405605</v>
      </c>
      <c r="O80" s="16">
        <f t="shared" si="60"/>
        <v>40</v>
      </c>
      <c r="P80" s="16">
        <f t="shared" si="61"/>
        <v>91</v>
      </c>
      <c r="Q80" s="16">
        <f t="shared" si="62"/>
        <v>92</v>
      </c>
      <c r="R80" s="16">
        <f t="shared" si="73"/>
        <v>92</v>
      </c>
      <c r="S80" s="16">
        <f t="shared" si="74"/>
        <v>90</v>
      </c>
      <c r="T80" s="16">
        <f t="shared" si="74"/>
        <v>91</v>
      </c>
      <c r="U80" s="16">
        <f t="shared" si="74"/>
        <v>0</v>
      </c>
      <c r="V80" s="106">
        <f>IF(W$8&lt;V$8,0,IF($D80&lt;V$8,V$12,IF($D80&lt;W$8,W$8-$D80,0)))</f>
        <v>0</v>
      </c>
      <c r="W80" s="141">
        <f>$L80*O$11*O80</f>
        <v>-3.2004931506849394</v>
      </c>
      <c r="X80" s="63">
        <f>($L80+SUM($W80:W80))*(P$11*P80)</f>
        <v>-7.30705468080317</v>
      </c>
      <c r="Y80" s="63">
        <f>($L80+SUM($W80:X80))*(Q$11*Q80)</f>
        <v>-7.447209775386727</v>
      </c>
      <c r="Z80" s="63">
        <f>($L80+SUM($W80:Y80))*(R$11*R80)</f>
        <v>-7.50821568560154</v>
      </c>
      <c r="AA80" s="63">
        <f>($L80+SUM($W80:Z80))*(S$11*S80)</f>
        <v>-7.405162183234245</v>
      </c>
      <c r="AB80" s="63">
        <f>($L80+SUM($W80:AA80))*(T$11*T80)</f>
        <v>-7.547443864847727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76" ref="AE80:AE85">SUM(W80:AD80)</f>
        <v>-40.41557934055835</v>
      </c>
    </row>
    <row r="81" spans="1:31" ht="12.75">
      <c r="A81" s="3">
        <v>2</v>
      </c>
      <c r="B81" s="15">
        <f t="shared" si="16"/>
        <v>41671</v>
      </c>
      <c r="C81" s="243">
        <f t="shared" si="69"/>
        <v>41703</v>
      </c>
      <c r="D81" s="243">
        <f t="shared" si="69"/>
        <v>41718</v>
      </c>
      <c r="E81" s="70" t="s">
        <v>144</v>
      </c>
      <c r="F81" s="3">
        <v>9</v>
      </c>
      <c r="G81" s="362">
        <v>18</v>
      </c>
      <c r="H81" s="247">
        <f t="shared" si="75"/>
        <v>1586.22</v>
      </c>
      <c r="I81" s="247">
        <f t="shared" si="49"/>
        <v>1541.29</v>
      </c>
      <c r="J81" s="56">
        <f t="shared" si="9"/>
        <v>27743.22</v>
      </c>
      <c r="K81" s="57">
        <f t="shared" si="65"/>
        <v>28551.96</v>
      </c>
      <c r="L81" s="58">
        <f t="shared" si="67"/>
        <v>-808.739999999998</v>
      </c>
      <c r="M81" s="55">
        <f t="shared" si="71"/>
        <v>-34.274502543603305</v>
      </c>
      <c r="N81" s="29">
        <f t="shared" si="68"/>
        <v>-843.0145025436012</v>
      </c>
      <c r="O81" s="16">
        <f t="shared" si="60"/>
        <v>12</v>
      </c>
      <c r="P81" s="16">
        <f t="shared" si="61"/>
        <v>91</v>
      </c>
      <c r="Q81" s="16">
        <f t="shared" si="62"/>
        <v>92</v>
      </c>
      <c r="R81" s="16">
        <f t="shared" si="73"/>
        <v>92</v>
      </c>
      <c r="S81" s="16">
        <f t="shared" si="74"/>
        <v>90</v>
      </c>
      <c r="T81" s="16">
        <f t="shared" si="74"/>
        <v>91</v>
      </c>
      <c r="U81" s="16">
        <f t="shared" si="74"/>
        <v>0</v>
      </c>
      <c r="V81" s="106">
        <f aca="true" t="shared" si="77" ref="V81:V91">IF(W$8&lt;V$8,0,IF($D81&lt;V$8,V$12,IF($D81&lt;W$8,W$8-$D81,0)))</f>
        <v>0</v>
      </c>
      <c r="W81" s="141">
        <f aca="true" t="shared" si="78" ref="W81:W91">$L81*O$11*O81</f>
        <v>-0.8641331506849292</v>
      </c>
      <c r="X81" s="63">
        <f>($L81+SUM($W81:W81))*(P$11*P81)</f>
        <v>-6.560011572036013</v>
      </c>
      <c r="Y81" s="63">
        <f>($L81+SUM($W81:X81))*(Q$11*Q81)</f>
        <v>-6.685837788276518</v>
      </c>
      <c r="Z81" s="63">
        <f>($L81+SUM($W81:Y81))*(R$11*R81)</f>
        <v>-6.740606706048975</v>
      </c>
      <c r="AA81" s="63">
        <f>($L81+SUM($W81:Z81))*(S$11*S81)</f>
        <v>-6.648088968383164</v>
      </c>
      <c r="AB81" s="63">
        <f>($L81+SUM($W81:AA81))*(T$11*T81)</f>
        <v>-6.775824358173705</v>
      </c>
      <c r="AC81" s="63">
        <f>($L81+SUM($W81:AB81))*(U$11*U81)</f>
        <v>0</v>
      </c>
      <c r="AD81" s="63">
        <f>($L81+SUM($W81:AC81))*(V$11*V81)</f>
        <v>0</v>
      </c>
      <c r="AE81" s="110">
        <f t="shared" si="76"/>
        <v>-34.274502543603305</v>
      </c>
    </row>
    <row r="82" spans="1:31" ht="12.75">
      <c r="A82" s="3">
        <v>3</v>
      </c>
      <c r="B82" s="15">
        <f t="shared" si="16"/>
        <v>41699</v>
      </c>
      <c r="C82" s="243">
        <f t="shared" si="69"/>
        <v>41733</v>
      </c>
      <c r="D82" s="243">
        <f t="shared" si="69"/>
        <v>41750</v>
      </c>
      <c r="E82" s="70" t="s">
        <v>144</v>
      </c>
      <c r="F82" s="3">
        <v>9</v>
      </c>
      <c r="G82" s="362">
        <v>20</v>
      </c>
      <c r="H82" s="247">
        <f t="shared" si="75"/>
        <v>1586.22</v>
      </c>
      <c r="I82" s="247">
        <f t="shared" si="49"/>
        <v>1541.29</v>
      </c>
      <c r="J82" s="56">
        <f t="shared" si="9"/>
        <v>30825.8</v>
      </c>
      <c r="K82" s="57">
        <f t="shared" si="65"/>
        <v>31724.4</v>
      </c>
      <c r="L82" s="58">
        <f>+J82-K82</f>
        <v>-898.6000000000022</v>
      </c>
      <c r="M82" s="55">
        <f t="shared" si="71"/>
        <v>-35.43011785761556</v>
      </c>
      <c r="N82" s="29">
        <f>SUM(L82:M82)</f>
        <v>-934.0301178576177</v>
      </c>
      <c r="O82" s="16">
        <f t="shared" si="60"/>
        <v>0</v>
      </c>
      <c r="P82" s="16">
        <f t="shared" si="61"/>
        <v>71</v>
      </c>
      <c r="Q82" s="16">
        <f t="shared" si="62"/>
        <v>92</v>
      </c>
      <c r="R82" s="16">
        <f t="shared" si="73"/>
        <v>92</v>
      </c>
      <c r="S82" s="16">
        <f t="shared" si="74"/>
        <v>90</v>
      </c>
      <c r="T82" s="16">
        <f t="shared" si="74"/>
        <v>91</v>
      </c>
      <c r="U82" s="16">
        <f t="shared" si="74"/>
        <v>0</v>
      </c>
      <c r="V82" s="106">
        <f t="shared" si="77"/>
        <v>0</v>
      </c>
      <c r="W82" s="141">
        <f t="shared" si="78"/>
        <v>0</v>
      </c>
      <c r="X82" s="63">
        <f>($L82+SUM($W82:W82))*(P$11*P82)</f>
        <v>-5.680875342465767</v>
      </c>
      <c r="Y82" s="63">
        <f>($L82+SUM($W82:X82))*(Q$11*Q82)</f>
        <v>-7.407670732257476</v>
      </c>
      <c r="Z82" s="63">
        <f>($L82+SUM($W82:Y82))*(R$11*R82)</f>
        <v>-7.4683527472970646</v>
      </c>
      <c r="AA82" s="63">
        <f>($L82+SUM($W82:Z82))*(S$11*S82)</f>
        <v>-7.365846380971002</v>
      </c>
      <c r="AB82" s="63">
        <f>($L82+SUM($W82:AA82))*(T$11*T82)</f>
        <v>-7.507372654624255</v>
      </c>
      <c r="AC82" s="63">
        <f>($L82+SUM($W82:AB82))*(U$11*U82)</f>
        <v>0</v>
      </c>
      <c r="AD82" s="63">
        <f>($L82+SUM($W82:AC82))*(V$11*V82)</f>
        <v>0</v>
      </c>
      <c r="AE82" s="110">
        <f t="shared" si="76"/>
        <v>-35.43011785761556</v>
      </c>
    </row>
    <row r="83" spans="1:31" ht="12.75">
      <c r="A83" s="16">
        <v>4</v>
      </c>
      <c r="B83" s="15">
        <f t="shared" si="16"/>
        <v>41730</v>
      </c>
      <c r="C83" s="243">
        <f t="shared" si="69"/>
        <v>41764</v>
      </c>
      <c r="D83" s="243">
        <f t="shared" si="69"/>
        <v>41779</v>
      </c>
      <c r="E83" s="30" t="s">
        <v>144</v>
      </c>
      <c r="F83" s="3">
        <v>9</v>
      </c>
      <c r="G83" s="362">
        <v>22</v>
      </c>
      <c r="H83" s="247">
        <f t="shared" si="75"/>
        <v>1586.22</v>
      </c>
      <c r="I83" s="247">
        <f t="shared" si="49"/>
        <v>1541.29</v>
      </c>
      <c r="J83" s="56">
        <f t="shared" si="9"/>
        <v>33908.38</v>
      </c>
      <c r="K83" s="57">
        <f t="shared" si="65"/>
        <v>34896.840000000004</v>
      </c>
      <c r="L83" s="58">
        <f aca="true" t="shared" si="79" ref="L83:L93">+J83-K83</f>
        <v>-988.4600000000064</v>
      </c>
      <c r="M83" s="55">
        <f t="shared" si="71"/>
        <v>-36.33676712780412</v>
      </c>
      <c r="N83" s="29">
        <f aca="true" t="shared" si="80" ref="N83:N93">SUM(L83:M83)</f>
        <v>-1024.7967671278104</v>
      </c>
      <c r="O83" s="16">
        <f t="shared" si="60"/>
        <v>0</v>
      </c>
      <c r="P83" s="16">
        <f t="shared" si="61"/>
        <v>42</v>
      </c>
      <c r="Q83" s="16">
        <f t="shared" si="62"/>
        <v>92</v>
      </c>
      <c r="R83" s="16">
        <f t="shared" si="73"/>
        <v>92</v>
      </c>
      <c r="S83" s="16">
        <f t="shared" si="74"/>
        <v>90</v>
      </c>
      <c r="T83" s="16">
        <f t="shared" si="74"/>
        <v>91</v>
      </c>
      <c r="U83" s="16">
        <f t="shared" si="74"/>
        <v>0</v>
      </c>
      <c r="V83" s="106">
        <f t="shared" si="77"/>
        <v>0</v>
      </c>
      <c r="W83" s="141">
        <f t="shared" si="78"/>
        <v>0</v>
      </c>
      <c r="X83" s="63">
        <f>($L83+SUM($W83:W83))*(P$11*P83)</f>
        <v>-3.69656958904112</v>
      </c>
      <c r="Y83" s="63">
        <f>($L83+SUM($W83:X83))*(Q$11*Q83)</f>
        <v>-8.12752915909932</v>
      </c>
      <c r="Z83" s="63">
        <f>($L83+SUM($W83:Y83))*(R$11*R83)</f>
        <v>-8.194108096594407</v>
      </c>
      <c r="AA83" s="63">
        <f>($L83+SUM($W83:Z83))*(S$11*S83)</f>
        <v>-8.081640424714706</v>
      </c>
      <c r="AB83" s="63">
        <f>($L83+SUM($W83:AA83))*(T$11*T83)</f>
        <v>-8.236919858354565</v>
      </c>
      <c r="AC83" s="63">
        <f>($L83+SUM($W83:AB83))*(U$11*U83)</f>
        <v>0</v>
      </c>
      <c r="AD83" s="63">
        <f>($L83+SUM($W83:AC83))*(V$11*V83)</f>
        <v>0</v>
      </c>
      <c r="AE83" s="110">
        <f t="shared" si="76"/>
        <v>-36.33676712780412</v>
      </c>
    </row>
    <row r="84" spans="1:31" ht="12.75">
      <c r="A84" s="3">
        <v>5</v>
      </c>
      <c r="B84" s="15">
        <f t="shared" si="16"/>
        <v>41760</v>
      </c>
      <c r="C84" s="243">
        <f t="shared" si="69"/>
        <v>41794</v>
      </c>
      <c r="D84" s="243">
        <f t="shared" si="69"/>
        <v>41809</v>
      </c>
      <c r="E84" s="30" t="s">
        <v>144</v>
      </c>
      <c r="F84" s="3">
        <v>9</v>
      </c>
      <c r="G84" s="362">
        <v>21</v>
      </c>
      <c r="H84" s="247">
        <f t="shared" si="75"/>
        <v>1586.22</v>
      </c>
      <c r="I84" s="247">
        <f aca="true" t="shared" si="81" ref="I84:I115">$J$3</f>
        <v>1541.29</v>
      </c>
      <c r="J84" s="56">
        <f t="shared" si="9"/>
        <v>32367.09</v>
      </c>
      <c r="K84" s="57">
        <f t="shared" si="65"/>
        <v>33310.62</v>
      </c>
      <c r="L84" s="58">
        <f t="shared" si="79"/>
        <v>-943.5300000000025</v>
      </c>
      <c r="M84" s="55">
        <f t="shared" si="71"/>
        <v>-32.0817912163347</v>
      </c>
      <c r="N84" s="29">
        <f t="shared" si="80"/>
        <v>-975.6117912163372</v>
      </c>
      <c r="O84" s="16">
        <f t="shared" si="60"/>
        <v>0</v>
      </c>
      <c r="P84" s="16">
        <f t="shared" si="61"/>
        <v>12</v>
      </c>
      <c r="Q84" s="16">
        <f t="shared" si="62"/>
        <v>92</v>
      </c>
      <c r="R84" s="16">
        <f t="shared" si="73"/>
        <v>92</v>
      </c>
      <c r="S84" s="16">
        <f t="shared" si="74"/>
        <v>90</v>
      </c>
      <c r="T84" s="16">
        <f t="shared" si="74"/>
        <v>91</v>
      </c>
      <c r="U84" s="16">
        <f t="shared" si="74"/>
        <v>0</v>
      </c>
      <c r="V84" s="106">
        <f t="shared" si="77"/>
        <v>0</v>
      </c>
      <c r="W84" s="141">
        <f t="shared" si="78"/>
        <v>0</v>
      </c>
      <c r="X84" s="63">
        <f>($L84+SUM($W84:W84))*(P$11*P84)</f>
        <v>-1.008155342465756</v>
      </c>
      <c r="Y84" s="63">
        <f>($L84+SUM($W84:X84))*(Q$11*Q84)</f>
        <v>-7.737449546504054</v>
      </c>
      <c r="Z84" s="63">
        <f>($L84+SUM($W84:Y84))*(R$11*R84)</f>
        <v>-7.800833037309663</v>
      </c>
      <c r="AA84" s="63">
        <f>($L84+SUM($W84:Z84))*(S$11*S84)</f>
        <v>-7.693763235436642</v>
      </c>
      <c r="AB84" s="63">
        <f>($L84+SUM($W84:AA84))*(T$11*T84)</f>
        <v>-7.841590054618583</v>
      </c>
      <c r="AC84" s="63">
        <f>($L84+SUM($W84:AB84))*(U$11*U84)</f>
        <v>0</v>
      </c>
      <c r="AD84" s="63">
        <f>($L84+SUM($W84:AC84))*(V$11*V84)</f>
        <v>0</v>
      </c>
      <c r="AE84" s="110">
        <f t="shared" si="76"/>
        <v>-32.0817912163347</v>
      </c>
    </row>
    <row r="85" spans="1:31" ht="12.75">
      <c r="A85" s="3">
        <v>6</v>
      </c>
      <c r="B85" s="15">
        <f aca="true" t="shared" si="82" ref="B85:B148">DATE($N$1,A85,1)</f>
        <v>41791</v>
      </c>
      <c r="C85" s="243">
        <f t="shared" si="69"/>
        <v>41823</v>
      </c>
      <c r="D85" s="243">
        <f t="shared" si="69"/>
        <v>41838</v>
      </c>
      <c r="E85" s="30" t="s">
        <v>144</v>
      </c>
      <c r="F85" s="3">
        <v>9</v>
      </c>
      <c r="G85" s="362">
        <v>14</v>
      </c>
      <c r="H85" s="247">
        <f t="shared" si="75"/>
        <v>1586.22</v>
      </c>
      <c r="I85" s="247">
        <f t="shared" si="81"/>
        <v>1541.29</v>
      </c>
      <c r="J85" s="56">
        <f aca="true" t="shared" si="83" ref="J85:J148">+$G85*I85</f>
        <v>21578.059999999998</v>
      </c>
      <c r="K85" s="57">
        <f t="shared" si="65"/>
        <v>22207.08</v>
      </c>
      <c r="L85" s="77">
        <f t="shared" si="79"/>
        <v>-629.0200000000041</v>
      </c>
      <c r="M85" s="78">
        <f t="shared" si="71"/>
        <v>-19.718166489933694</v>
      </c>
      <c r="N85" s="76">
        <f t="shared" si="80"/>
        <v>-648.7381664899377</v>
      </c>
      <c r="O85" s="16">
        <f aca="true" t="shared" si="84" ref="O85:U85">IF($D85&lt;O$8,O$12,IF($D85&lt;P$8,P$8-$D85,0))</f>
        <v>0</v>
      </c>
      <c r="P85" s="16">
        <f t="shared" si="84"/>
        <v>0</v>
      </c>
      <c r="Q85" s="16">
        <f t="shared" si="84"/>
        <v>75</v>
      </c>
      <c r="R85" s="16">
        <f t="shared" si="84"/>
        <v>92</v>
      </c>
      <c r="S85" s="16">
        <f t="shared" si="84"/>
        <v>90</v>
      </c>
      <c r="T85" s="16">
        <f t="shared" si="84"/>
        <v>91</v>
      </c>
      <c r="U85" s="16">
        <f t="shared" si="84"/>
        <v>0</v>
      </c>
      <c r="V85" s="106">
        <f>IF(W$8&lt;V$8,0,IF($D85&lt;V$8,V$12,IF($D85&lt;W$8,W$8-$D85,0)))</f>
        <v>0</v>
      </c>
      <c r="W85" s="141">
        <f>$L85*O$11*O85</f>
        <v>0</v>
      </c>
      <c r="X85" s="63">
        <f>($L85+SUM($W85:W85))*(P$11*P85)</f>
        <v>0</v>
      </c>
      <c r="Y85" s="63">
        <f>($L85+SUM($W85:X85))*(Q$11*Q85)</f>
        <v>-4.200647260274</v>
      </c>
      <c r="Z85" s="63">
        <f>($L85+SUM($W85:Y85))*(R$11*R85)</f>
        <v>-5.187204754269127</v>
      </c>
      <c r="AA85" s="63">
        <f>($L85+SUM($W85:Z85))*(S$11*S85)</f>
        <v>-5.116008129157672</v>
      </c>
      <c r="AB85" s="63">
        <f>($L85+SUM($W85:AA85))*(T$11*T85)</f>
        <v>-5.214306346232896</v>
      </c>
      <c r="AC85" s="63">
        <f>($L85+SUM($W85:AB85))*(U$11*U85)</f>
        <v>0</v>
      </c>
      <c r="AD85" s="63">
        <f>($L85+SUM($W85:AC85))*(V$11*V85)</f>
        <v>0</v>
      </c>
      <c r="AE85" s="110">
        <f t="shared" si="76"/>
        <v>-19.718166489933694</v>
      </c>
    </row>
    <row r="86" spans="1:31" ht="12.75">
      <c r="A86" s="16">
        <v>7</v>
      </c>
      <c r="B86" s="15">
        <f t="shared" si="82"/>
        <v>41821</v>
      </c>
      <c r="C86" s="243">
        <f t="shared" si="69"/>
        <v>41856</v>
      </c>
      <c r="D86" s="243">
        <f t="shared" si="69"/>
        <v>41871</v>
      </c>
      <c r="E86" s="30" t="s">
        <v>144</v>
      </c>
      <c r="F86" s="3">
        <v>9</v>
      </c>
      <c r="G86" s="362">
        <v>16</v>
      </c>
      <c r="H86" s="247">
        <f aca="true" t="shared" si="85" ref="H86:H91">$K$8</f>
        <v>1586.06</v>
      </c>
      <c r="I86" s="247">
        <f t="shared" si="81"/>
        <v>1541.29</v>
      </c>
      <c r="J86" s="56">
        <f t="shared" si="83"/>
        <v>24660.64</v>
      </c>
      <c r="K86" s="74">
        <f t="shared" si="65"/>
        <v>25376.96</v>
      </c>
      <c r="L86" s="77">
        <f t="shared" si="79"/>
        <v>-716.3199999999997</v>
      </c>
      <c r="M86" s="75">
        <f t="shared" si="71"/>
        <v>-20.29841499261705</v>
      </c>
      <c r="N86" s="76">
        <f t="shared" si="80"/>
        <v>-736.6184149926167</v>
      </c>
      <c r="O86" s="16">
        <f t="shared" si="60"/>
        <v>0</v>
      </c>
      <c r="P86" s="16">
        <f t="shared" si="61"/>
        <v>0</v>
      </c>
      <c r="Q86" s="16">
        <f t="shared" si="62"/>
        <v>42</v>
      </c>
      <c r="R86" s="16">
        <f t="shared" si="73"/>
        <v>92</v>
      </c>
      <c r="S86" s="16">
        <f t="shared" si="74"/>
        <v>90</v>
      </c>
      <c r="T86" s="16">
        <f t="shared" si="74"/>
        <v>91</v>
      </c>
      <c r="U86" s="16">
        <f t="shared" si="74"/>
        <v>0</v>
      </c>
      <c r="V86" s="106">
        <f t="shared" si="77"/>
        <v>0</v>
      </c>
      <c r="W86" s="141">
        <f t="shared" si="78"/>
        <v>0</v>
      </c>
      <c r="X86" s="63">
        <f>($L86+SUM($W86:W86))*(P$11*P86)</f>
        <v>0</v>
      </c>
      <c r="Y86" s="63">
        <f>($L86+SUM($W86:X86))*(Q$11*Q86)</f>
        <v>-2.6788405479452044</v>
      </c>
      <c r="Z86" s="63">
        <f>($L86+SUM($W86:Y86))*(R$11*R86)</f>
        <v>-5.889880912981795</v>
      </c>
      <c r="AA86" s="63">
        <f>($L86+SUM($W86:Z86))*(S$11*S86)</f>
        <v>-5.809039754173179</v>
      </c>
      <c r="AB86" s="63">
        <f>($L86+SUM($W86:AA86))*(T$11*T86)</f>
        <v>-5.920653777516872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86" ref="AE86:AE91">SUM(W86:AD86)</f>
        <v>-20.29841499261705</v>
      </c>
    </row>
    <row r="87" spans="1:31" ht="12.75">
      <c r="A87" s="3">
        <v>8</v>
      </c>
      <c r="B87" s="15">
        <f t="shared" si="82"/>
        <v>41852</v>
      </c>
      <c r="C87" s="243">
        <f t="shared" si="69"/>
        <v>41886</v>
      </c>
      <c r="D87" s="243">
        <f t="shared" si="69"/>
        <v>41901</v>
      </c>
      <c r="E87" s="30" t="s">
        <v>144</v>
      </c>
      <c r="F87" s="3">
        <v>9</v>
      </c>
      <c r="G87" s="362">
        <v>17</v>
      </c>
      <c r="H87" s="247">
        <f t="shared" si="85"/>
        <v>1586.06</v>
      </c>
      <c r="I87" s="247">
        <f t="shared" si="81"/>
        <v>1541.29</v>
      </c>
      <c r="J87" s="56">
        <f t="shared" si="83"/>
        <v>26201.93</v>
      </c>
      <c r="K87" s="74">
        <f t="shared" si="65"/>
        <v>26963.02</v>
      </c>
      <c r="L87" s="77">
        <f t="shared" si="79"/>
        <v>-761.0900000000001</v>
      </c>
      <c r="M87" s="75">
        <f t="shared" si="71"/>
        <v>-19.484196006815253</v>
      </c>
      <c r="N87" s="76">
        <f t="shared" si="80"/>
        <v>-780.5741960068154</v>
      </c>
      <c r="O87" s="16">
        <f t="shared" si="60"/>
        <v>0</v>
      </c>
      <c r="P87" s="16">
        <f t="shared" si="61"/>
        <v>0</v>
      </c>
      <c r="Q87" s="16">
        <f t="shared" si="62"/>
        <v>12</v>
      </c>
      <c r="R87" s="16">
        <f t="shared" si="73"/>
        <v>92</v>
      </c>
      <c r="S87" s="16">
        <f t="shared" si="74"/>
        <v>90</v>
      </c>
      <c r="T87" s="16">
        <f t="shared" si="74"/>
        <v>91</v>
      </c>
      <c r="U87" s="16">
        <f t="shared" si="74"/>
        <v>0</v>
      </c>
      <c r="V87" s="106">
        <f t="shared" si="77"/>
        <v>0</v>
      </c>
      <c r="W87" s="141">
        <f t="shared" si="78"/>
        <v>0</v>
      </c>
      <c r="X87" s="63">
        <f>($L87+SUM($W87:W87))*(P$11*P87)</f>
        <v>0</v>
      </c>
      <c r="Y87" s="63">
        <f>($L87+SUM($W87:X87))*(Q$11*Q87)</f>
        <v>-0.8132194520547947</v>
      </c>
      <c r="Z87" s="63">
        <f>($L87+SUM($W87:Y87))*(R$11*R87)</f>
        <v>-6.241344181264778</v>
      </c>
      <c r="AA87" s="63">
        <f>($L87+SUM($W87:Z87))*(S$11*S87)</f>
        <v>-6.155679037335507</v>
      </c>
      <c r="AB87" s="63">
        <f>($L87+SUM($W87:AA87))*(T$11*T87)</f>
        <v>-6.273953336160172</v>
      </c>
      <c r="AC87" s="63">
        <f>($L87+SUM($W87:AB87))*(U$11*U87)</f>
        <v>0</v>
      </c>
      <c r="AD87" s="63">
        <f>($L87+SUM($W87:AC87))*(V$11*V87)</f>
        <v>0</v>
      </c>
      <c r="AE87" s="110">
        <f t="shared" si="86"/>
        <v>-19.484196006815253</v>
      </c>
    </row>
    <row r="88" spans="1:31" ht="12.75">
      <c r="A88" s="3">
        <v>9</v>
      </c>
      <c r="B88" s="15">
        <f t="shared" si="82"/>
        <v>41883</v>
      </c>
      <c r="C88" s="243">
        <f t="shared" si="69"/>
        <v>41915</v>
      </c>
      <c r="D88" s="243">
        <f t="shared" si="69"/>
        <v>41932</v>
      </c>
      <c r="E88" s="30" t="s">
        <v>144</v>
      </c>
      <c r="F88" s="3">
        <v>9</v>
      </c>
      <c r="G88" s="362">
        <v>17</v>
      </c>
      <c r="H88" s="247">
        <f t="shared" si="85"/>
        <v>1586.06</v>
      </c>
      <c r="I88" s="247">
        <f t="shared" si="81"/>
        <v>1541.29</v>
      </c>
      <c r="J88" s="56">
        <f t="shared" si="83"/>
        <v>26201.93</v>
      </c>
      <c r="K88" s="74">
        <f t="shared" si="65"/>
        <v>26963.02</v>
      </c>
      <c r="L88" s="77">
        <f t="shared" si="79"/>
        <v>-761.0900000000001</v>
      </c>
      <c r="M88" s="75">
        <f t="shared" si="71"/>
        <v>-17.342615479285485</v>
      </c>
      <c r="N88" s="76">
        <f t="shared" si="80"/>
        <v>-778.4326154792857</v>
      </c>
      <c r="O88" s="16">
        <f t="shared" si="60"/>
        <v>0</v>
      </c>
      <c r="P88" s="16">
        <f t="shared" si="61"/>
        <v>0</v>
      </c>
      <c r="Q88" s="16">
        <f t="shared" si="62"/>
        <v>0</v>
      </c>
      <c r="R88" s="16">
        <f t="shared" si="73"/>
        <v>73</v>
      </c>
      <c r="S88" s="16">
        <f t="shared" si="74"/>
        <v>90</v>
      </c>
      <c r="T88" s="16">
        <f t="shared" si="74"/>
        <v>91</v>
      </c>
      <c r="U88" s="16">
        <f t="shared" si="74"/>
        <v>0</v>
      </c>
      <c r="V88" s="106">
        <f t="shared" si="77"/>
        <v>0</v>
      </c>
      <c r="W88" s="141">
        <f t="shared" si="78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-4.947085</v>
      </c>
      <c r="AA88" s="63">
        <f>($L88+SUM($W88:Z88))*(S$11*S88)</f>
        <v>-6.138790338698631</v>
      </c>
      <c r="AB88" s="63">
        <f>($L88+SUM($W88:AA88))*(T$11*T88)</f>
        <v>-6.256740140586854</v>
      </c>
      <c r="AC88" s="63">
        <f>($L88+SUM($W88:AB88))*(U$11*U88)</f>
        <v>0</v>
      </c>
      <c r="AD88" s="63">
        <f>($L88+SUM($W88:AC88))*(V$11*V88)</f>
        <v>0</v>
      </c>
      <c r="AE88" s="110">
        <f t="shared" si="86"/>
        <v>-17.342615479285485</v>
      </c>
    </row>
    <row r="89" spans="1:31" ht="12.75">
      <c r="A89" s="16">
        <v>10</v>
      </c>
      <c r="B89" s="15">
        <f t="shared" si="82"/>
        <v>41913</v>
      </c>
      <c r="C89" s="243">
        <f t="shared" si="69"/>
        <v>41948</v>
      </c>
      <c r="D89" s="243">
        <f t="shared" si="69"/>
        <v>41963</v>
      </c>
      <c r="E89" s="30" t="s">
        <v>144</v>
      </c>
      <c r="F89" s="3">
        <v>9</v>
      </c>
      <c r="G89" s="362">
        <v>19</v>
      </c>
      <c r="H89" s="247">
        <f t="shared" si="85"/>
        <v>1586.06</v>
      </c>
      <c r="I89" s="247">
        <f t="shared" si="81"/>
        <v>1541.29</v>
      </c>
      <c r="J89" s="56">
        <f t="shared" si="83"/>
        <v>29284.51</v>
      </c>
      <c r="K89" s="74">
        <f t="shared" si="65"/>
        <v>30135.14</v>
      </c>
      <c r="L89" s="77">
        <f t="shared" si="79"/>
        <v>-850.630000000001</v>
      </c>
      <c r="M89" s="75">
        <f t="shared" si="71"/>
        <v>-16.996957929189556</v>
      </c>
      <c r="N89" s="76">
        <f t="shared" si="80"/>
        <v>-867.6269579291906</v>
      </c>
      <c r="O89" s="16">
        <f t="shared" si="60"/>
        <v>0</v>
      </c>
      <c r="P89" s="16">
        <f t="shared" si="61"/>
        <v>0</v>
      </c>
      <c r="Q89" s="16">
        <f t="shared" si="62"/>
        <v>0</v>
      </c>
      <c r="R89" s="16">
        <f t="shared" si="73"/>
        <v>42</v>
      </c>
      <c r="S89" s="16">
        <f t="shared" si="74"/>
        <v>90</v>
      </c>
      <c r="T89" s="16">
        <f t="shared" si="74"/>
        <v>91</v>
      </c>
      <c r="U89" s="16">
        <f t="shared" si="74"/>
        <v>0</v>
      </c>
      <c r="V89" s="106">
        <f t="shared" si="77"/>
        <v>0</v>
      </c>
      <c r="W89" s="141">
        <f t="shared" si="78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-3.1811231506849356</v>
      </c>
      <c r="AA89" s="63">
        <f>($L89+SUM($W89:Z89))*(S$11*S89)</f>
        <v>-6.842185027988373</v>
      </c>
      <c r="AB89" s="63">
        <f>($L89+SUM($W89:AA89))*(T$11*T89)</f>
        <v>-6.973649750516245</v>
      </c>
      <c r="AC89" s="63">
        <f>($L89+SUM($W89:AB89))*(U$11*U89)</f>
        <v>0</v>
      </c>
      <c r="AD89" s="63">
        <f>($L89+SUM($W89:AC89))*(V$11*V89)</f>
        <v>0</v>
      </c>
      <c r="AE89" s="110">
        <f t="shared" si="86"/>
        <v>-16.996957929189556</v>
      </c>
    </row>
    <row r="90" spans="1:31" ht="12.75">
      <c r="A90" s="3">
        <v>11</v>
      </c>
      <c r="B90" s="15">
        <f t="shared" si="82"/>
        <v>41944</v>
      </c>
      <c r="C90" s="243">
        <f t="shared" si="69"/>
        <v>41976</v>
      </c>
      <c r="D90" s="243">
        <f t="shared" si="69"/>
        <v>41991</v>
      </c>
      <c r="E90" s="30" t="s">
        <v>144</v>
      </c>
      <c r="F90" s="3">
        <v>9</v>
      </c>
      <c r="G90" s="362">
        <v>18</v>
      </c>
      <c r="H90" s="247">
        <f t="shared" si="85"/>
        <v>1586.06</v>
      </c>
      <c r="I90" s="247">
        <f t="shared" si="81"/>
        <v>1541.29</v>
      </c>
      <c r="J90" s="56">
        <f t="shared" si="83"/>
        <v>27743.22</v>
      </c>
      <c r="K90" s="74">
        <f t="shared" si="65"/>
        <v>28549.079999999998</v>
      </c>
      <c r="L90" s="77">
        <f t="shared" si="79"/>
        <v>-805.859999999997</v>
      </c>
      <c r="M90" s="75">
        <f t="shared" si="71"/>
        <v>-14.060740300004944</v>
      </c>
      <c r="N90" s="76">
        <f t="shared" si="80"/>
        <v>-819.9207403000019</v>
      </c>
      <c r="O90" s="16">
        <f t="shared" si="60"/>
        <v>0</v>
      </c>
      <c r="P90" s="16">
        <f t="shared" si="61"/>
        <v>0</v>
      </c>
      <c r="Q90" s="16">
        <f t="shared" si="62"/>
        <v>0</v>
      </c>
      <c r="R90" s="16">
        <f t="shared" si="73"/>
        <v>14</v>
      </c>
      <c r="S90" s="16">
        <f t="shared" si="74"/>
        <v>90</v>
      </c>
      <c r="T90" s="16">
        <f t="shared" si="74"/>
        <v>91</v>
      </c>
      <c r="U90" s="16">
        <f t="shared" si="74"/>
        <v>0</v>
      </c>
      <c r="V90" s="106">
        <f t="shared" si="77"/>
        <v>0</v>
      </c>
      <c r="W90" s="141">
        <f t="shared" si="78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-1.0045652054794483</v>
      </c>
      <c r="AA90" s="63">
        <f>($L90+SUM($W90:Z90))*(S$11*S90)</f>
        <v>-6.465969460893201</v>
      </c>
      <c r="AB90" s="63">
        <f>($L90+SUM($W90:AA90))*(T$11*T90)</f>
        <v>-6.590205633632296</v>
      </c>
      <c r="AC90" s="63">
        <f>($L90+SUM($W90:AB90))*(U$11*U90)</f>
        <v>0</v>
      </c>
      <c r="AD90" s="63">
        <f>($L90+SUM($W90:AC90))*(V$11*V90)</f>
        <v>0</v>
      </c>
      <c r="AE90" s="110">
        <f t="shared" si="86"/>
        <v>-14.060740300004944</v>
      </c>
    </row>
    <row r="91" spans="1:31" s="69" customFormat="1" ht="12.75">
      <c r="A91" s="3">
        <v>12</v>
      </c>
      <c r="B91" s="83">
        <f t="shared" si="82"/>
        <v>41974</v>
      </c>
      <c r="C91" s="243">
        <f t="shared" si="69"/>
        <v>42010</v>
      </c>
      <c r="D91" s="243">
        <f t="shared" si="69"/>
        <v>42025</v>
      </c>
      <c r="E91" s="84" t="s">
        <v>144</v>
      </c>
      <c r="F91" s="81">
        <v>9</v>
      </c>
      <c r="G91" s="363">
        <v>22</v>
      </c>
      <c r="H91" s="248">
        <f t="shared" si="85"/>
        <v>1586.06</v>
      </c>
      <c r="I91" s="248">
        <f t="shared" si="81"/>
        <v>1541.29</v>
      </c>
      <c r="J91" s="85">
        <f t="shared" si="83"/>
        <v>33908.38</v>
      </c>
      <c r="K91" s="86">
        <f t="shared" si="65"/>
        <v>34893.32</v>
      </c>
      <c r="L91" s="87">
        <f t="shared" si="79"/>
        <v>-984.9400000000023</v>
      </c>
      <c r="M91" s="88">
        <f t="shared" si="71"/>
        <v>-14.169464851670142</v>
      </c>
      <c r="N91" s="89">
        <f t="shared" si="80"/>
        <v>-999.1094648516724</v>
      </c>
      <c r="O91" s="81">
        <f t="shared" si="60"/>
        <v>0</v>
      </c>
      <c r="P91" s="81">
        <f t="shared" si="61"/>
        <v>0</v>
      </c>
      <c r="Q91" s="81">
        <f t="shared" si="62"/>
        <v>0</v>
      </c>
      <c r="R91" s="81">
        <f t="shared" si="73"/>
        <v>0</v>
      </c>
      <c r="S91" s="81">
        <f t="shared" si="74"/>
        <v>70</v>
      </c>
      <c r="T91" s="81">
        <f t="shared" si="74"/>
        <v>91</v>
      </c>
      <c r="U91" s="81">
        <f t="shared" si="74"/>
        <v>0</v>
      </c>
      <c r="V91" s="107">
        <f t="shared" si="77"/>
        <v>0</v>
      </c>
      <c r="W91" s="142">
        <f t="shared" si="78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-6.139009589041111</v>
      </c>
      <c r="AB91" s="90">
        <f>($L91+SUM($W91:AA91))*(T$11*T91)</f>
        <v>-8.030455262629031</v>
      </c>
      <c r="AC91" s="90">
        <f>($L91+SUM($W91:AB91))*(U$11*U91)</f>
        <v>0</v>
      </c>
      <c r="AD91" s="90">
        <f>($L91+SUM($W91:AC91))*(V$11*V91)</f>
        <v>0</v>
      </c>
      <c r="AE91" s="111">
        <f t="shared" si="86"/>
        <v>-14.169464851670142</v>
      </c>
    </row>
    <row r="92" spans="1:31" ht="12.75">
      <c r="A92" s="16">
        <v>1</v>
      </c>
      <c r="B92" s="15">
        <f t="shared" si="82"/>
        <v>41640</v>
      </c>
      <c r="C92" s="242">
        <f aca="true" t="shared" si="87" ref="C92:D111">+C80</f>
        <v>41675</v>
      </c>
      <c r="D92" s="242">
        <f t="shared" si="87"/>
        <v>41690</v>
      </c>
      <c r="E92" s="118" t="s">
        <v>138</v>
      </c>
      <c r="F92" s="16">
        <v>9</v>
      </c>
      <c r="G92" s="362">
        <v>896</v>
      </c>
      <c r="H92" s="247">
        <f aca="true" t="shared" si="88" ref="H92:H97">$K$3</f>
        <v>1586.22</v>
      </c>
      <c r="I92" s="247">
        <f t="shared" si="81"/>
        <v>1541.29</v>
      </c>
      <c r="J92" s="56">
        <f t="shared" si="83"/>
        <v>1380995.8399999999</v>
      </c>
      <c r="K92" s="57">
        <f t="shared" si="65"/>
        <v>1421253.12</v>
      </c>
      <c r="L92" s="58">
        <f t="shared" si="79"/>
        <v>-40257.28000000026</v>
      </c>
      <c r="M92" s="55">
        <f t="shared" si="71"/>
        <v>-1810.6179544570214</v>
      </c>
      <c r="N92" s="29">
        <f t="shared" si="80"/>
        <v>-42067.89795445728</v>
      </c>
      <c r="O92" s="16">
        <f aca="true" t="shared" si="89" ref="O92:O127">IF($D92&lt;O$8,O$12,IF($D92&lt;P$8,P$8-$D92,0))</f>
        <v>40</v>
      </c>
      <c r="P92" s="16">
        <f aca="true" t="shared" si="90" ref="P92:P127">IF($D92&lt;P$8,P$12,IF($D92&lt;Q$8,Q$8-$D92,0))</f>
        <v>91</v>
      </c>
      <c r="Q92" s="16">
        <f aca="true" t="shared" si="91" ref="Q92:Q127">IF($D92&lt;Q$8,Q$12,IF($D92&lt;R$8,R$8-$D92,0))</f>
        <v>92</v>
      </c>
      <c r="R92" s="16">
        <f t="shared" si="73"/>
        <v>92</v>
      </c>
      <c r="S92" s="16">
        <f t="shared" si="74"/>
        <v>90</v>
      </c>
      <c r="T92" s="16">
        <f t="shared" si="74"/>
        <v>91</v>
      </c>
      <c r="U92" s="16">
        <f t="shared" si="74"/>
        <v>0</v>
      </c>
      <c r="V92" s="106">
        <f>IF(W$8&lt;V$8,0,IF($D92&lt;V$8,V$12,IF($D92&lt;W$8,W$8-$D92,0)))</f>
        <v>0</v>
      </c>
      <c r="W92" s="141">
        <f>$L92*O$11*O92</f>
        <v>-143.38209315068585</v>
      </c>
      <c r="X92" s="63">
        <f>($L92+SUM($W92:W92))*(P$11*P92)</f>
        <v>-327.3560496999834</v>
      </c>
      <c r="Y92" s="63">
        <f>($L92+SUM($W92:X92))*(Q$11*Q92)</f>
        <v>-333.6349979373268</v>
      </c>
      <c r="Z92" s="63">
        <f>($L92+SUM($W92:Y92))*(R$11*R92)</f>
        <v>-336.3680627149503</v>
      </c>
      <c r="AA92" s="63">
        <f>($L92+SUM($W92:Z92))*(S$11*S92)</f>
        <v>-331.75126580889554</v>
      </c>
      <c r="AB92" s="63">
        <f>($L92+SUM($W92:AA92))*(T$11*T92)</f>
        <v>-338.1254851451796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2" ref="AE92:AE97">SUM(W92:AD92)</f>
        <v>-1810.6179544570214</v>
      </c>
    </row>
    <row r="93" spans="1:31" ht="12.75">
      <c r="A93" s="3">
        <v>2</v>
      </c>
      <c r="B93" s="15">
        <f t="shared" si="82"/>
        <v>41671</v>
      </c>
      <c r="C93" s="243">
        <f t="shared" si="87"/>
        <v>41703</v>
      </c>
      <c r="D93" s="243">
        <f t="shared" si="87"/>
        <v>41718</v>
      </c>
      <c r="E93" s="70" t="s">
        <v>138</v>
      </c>
      <c r="F93" s="3">
        <v>9</v>
      </c>
      <c r="G93" s="362">
        <v>773</v>
      </c>
      <c r="H93" s="247">
        <f t="shared" si="88"/>
        <v>1586.22</v>
      </c>
      <c r="I93" s="247">
        <f t="shared" si="81"/>
        <v>1541.29</v>
      </c>
      <c r="J93" s="56">
        <f t="shared" si="83"/>
        <v>1191417.17</v>
      </c>
      <c r="K93" s="57">
        <f t="shared" si="65"/>
        <v>1226148.06</v>
      </c>
      <c r="L93" s="58">
        <f t="shared" si="79"/>
        <v>-34730.89000000013</v>
      </c>
      <c r="M93" s="55">
        <f t="shared" si="71"/>
        <v>-1471.899470344751</v>
      </c>
      <c r="N93" s="29">
        <f t="shared" si="80"/>
        <v>-36202.789470344884</v>
      </c>
      <c r="O93" s="16">
        <f t="shared" si="89"/>
        <v>12</v>
      </c>
      <c r="P93" s="16">
        <f t="shared" si="90"/>
        <v>91</v>
      </c>
      <c r="Q93" s="16">
        <f t="shared" si="91"/>
        <v>92</v>
      </c>
      <c r="R93" s="16">
        <f t="shared" si="73"/>
        <v>92</v>
      </c>
      <c r="S93" s="16">
        <f t="shared" si="74"/>
        <v>90</v>
      </c>
      <c r="T93" s="16">
        <f t="shared" si="74"/>
        <v>91</v>
      </c>
      <c r="U93" s="16">
        <f t="shared" si="74"/>
        <v>0</v>
      </c>
      <c r="V93" s="106">
        <f aca="true" t="shared" si="93" ref="V93:V103">IF(W$8&lt;V$8,0,IF($D93&lt;V$8,V$12,IF($D93&lt;W$8,W$8-$D93,0)))</f>
        <v>0</v>
      </c>
      <c r="W93" s="141">
        <f aca="true" t="shared" si="94" ref="W93:W103">$L93*O$11*O93</f>
        <v>-37.10971808219192</v>
      </c>
      <c r="X93" s="63">
        <f>($L93+SUM($W93:W93))*(P$11*P93)</f>
        <v>-281.716052510215</v>
      </c>
      <c r="Y93" s="63">
        <f>($L93+SUM($W93:X93))*(Q$11*Q93)</f>
        <v>-287.11958946321005</v>
      </c>
      <c r="Z93" s="63">
        <f>($L93+SUM($W93:Y93))*(R$11*R93)</f>
        <v>-289.4716102097717</v>
      </c>
      <c r="AA93" s="63">
        <f>($L93+SUM($W93:Z93))*(S$11*S93)</f>
        <v>-285.49848736445654</v>
      </c>
      <c r="AB93" s="63">
        <f>($L93+SUM($W93:AA93))*(T$11*T93)</f>
        <v>-290.98401271490593</v>
      </c>
      <c r="AC93" s="63">
        <f>($L93+SUM($W93:AB93))*(U$11*U93)</f>
        <v>0</v>
      </c>
      <c r="AD93" s="63">
        <f>($L93+SUM($W93:AC93))*(V$11*V93)</f>
        <v>0</v>
      </c>
      <c r="AE93" s="110">
        <f t="shared" si="92"/>
        <v>-1471.899470344751</v>
      </c>
    </row>
    <row r="94" spans="1:31" ht="12.75">
      <c r="A94" s="3">
        <v>3</v>
      </c>
      <c r="B94" s="15">
        <f t="shared" si="82"/>
        <v>41699</v>
      </c>
      <c r="C94" s="243">
        <f t="shared" si="87"/>
        <v>41733</v>
      </c>
      <c r="D94" s="243">
        <f t="shared" si="87"/>
        <v>41750</v>
      </c>
      <c r="E94" s="70" t="s">
        <v>138</v>
      </c>
      <c r="F94" s="3">
        <v>9</v>
      </c>
      <c r="G94" s="362">
        <v>732</v>
      </c>
      <c r="H94" s="247">
        <f t="shared" si="88"/>
        <v>1586.22</v>
      </c>
      <c r="I94" s="247">
        <f t="shared" si="81"/>
        <v>1541.29</v>
      </c>
      <c r="J94" s="56">
        <f t="shared" si="83"/>
        <v>1128224.28</v>
      </c>
      <c r="K94" s="57">
        <f t="shared" si="65"/>
        <v>1161113.04</v>
      </c>
      <c r="L94" s="58">
        <f>+J94-K94</f>
        <v>-32888.76000000001</v>
      </c>
      <c r="M94" s="55">
        <f t="shared" si="71"/>
        <v>-1296.7423135887268</v>
      </c>
      <c r="N94" s="29">
        <f>SUM(L94:M94)</f>
        <v>-34185.50231358874</v>
      </c>
      <c r="O94" s="16">
        <f t="shared" si="89"/>
        <v>0</v>
      </c>
      <c r="P94" s="16">
        <f t="shared" si="90"/>
        <v>71</v>
      </c>
      <c r="Q94" s="16">
        <f t="shared" si="91"/>
        <v>92</v>
      </c>
      <c r="R94" s="16">
        <f t="shared" si="73"/>
        <v>92</v>
      </c>
      <c r="S94" s="16">
        <f t="shared" si="74"/>
        <v>90</v>
      </c>
      <c r="T94" s="16">
        <f t="shared" si="74"/>
        <v>91</v>
      </c>
      <c r="U94" s="16">
        <f t="shared" si="74"/>
        <v>0</v>
      </c>
      <c r="V94" s="106">
        <f t="shared" si="93"/>
        <v>0</v>
      </c>
      <c r="W94" s="141">
        <f t="shared" si="94"/>
        <v>0</v>
      </c>
      <c r="X94" s="63">
        <f>($L94+SUM($W94:W94))*(P$11*P94)</f>
        <v>-207.92003753424663</v>
      </c>
      <c r="Y94" s="63">
        <f>($L94+SUM($W94:X94))*(Q$11*Q94)</f>
        <v>-271.12074880062306</v>
      </c>
      <c r="Z94" s="63">
        <f>($L94+SUM($W94:Y94))*(R$11*R94)</f>
        <v>-273.34171055107197</v>
      </c>
      <c r="AA94" s="63">
        <f>($L94+SUM($W94:Z94))*(S$11*S94)</f>
        <v>-269.58997754353805</v>
      </c>
      <c r="AB94" s="63">
        <f>($L94+SUM($W94:AA94))*(T$11*T94)</f>
        <v>-274.76983915924717</v>
      </c>
      <c r="AC94" s="63">
        <f>($L94+SUM($W94:AB94))*(U$11*U94)</f>
        <v>0</v>
      </c>
      <c r="AD94" s="63">
        <f>($L94+SUM($W94:AC94))*(V$11*V94)</f>
        <v>0</v>
      </c>
      <c r="AE94" s="110">
        <f t="shared" si="92"/>
        <v>-1296.7423135887268</v>
      </c>
    </row>
    <row r="95" spans="1:31" ht="12.75">
      <c r="A95" s="16">
        <v>4</v>
      </c>
      <c r="B95" s="15">
        <f t="shared" si="82"/>
        <v>41730</v>
      </c>
      <c r="C95" s="243">
        <f t="shared" si="87"/>
        <v>41764</v>
      </c>
      <c r="D95" s="243">
        <f t="shared" si="87"/>
        <v>41779</v>
      </c>
      <c r="E95" s="30" t="s">
        <v>138</v>
      </c>
      <c r="F95" s="3">
        <v>9</v>
      </c>
      <c r="G95" s="362">
        <v>381</v>
      </c>
      <c r="H95" s="247">
        <f t="shared" si="88"/>
        <v>1586.22</v>
      </c>
      <c r="I95" s="247">
        <f t="shared" si="81"/>
        <v>1541.29</v>
      </c>
      <c r="J95" s="56">
        <f t="shared" si="83"/>
        <v>587231.49</v>
      </c>
      <c r="K95" s="57">
        <f t="shared" si="65"/>
        <v>604349.8200000001</v>
      </c>
      <c r="L95" s="58">
        <f aca="true" t="shared" si="95" ref="L95:L105">+J95-K95</f>
        <v>-17118.330000000075</v>
      </c>
      <c r="M95" s="55">
        <f t="shared" si="71"/>
        <v>-629.2867398042426</v>
      </c>
      <c r="N95" s="29">
        <f aca="true" t="shared" si="96" ref="N95:N105">SUM(L95:M95)</f>
        <v>-17747.616739804318</v>
      </c>
      <c r="O95" s="16">
        <f t="shared" si="89"/>
        <v>0</v>
      </c>
      <c r="P95" s="16">
        <f t="shared" si="90"/>
        <v>42</v>
      </c>
      <c r="Q95" s="16">
        <f t="shared" si="91"/>
        <v>92</v>
      </c>
      <c r="R95" s="16">
        <f t="shared" si="73"/>
        <v>92</v>
      </c>
      <c r="S95" s="16">
        <f t="shared" si="74"/>
        <v>90</v>
      </c>
      <c r="T95" s="16">
        <f t="shared" si="74"/>
        <v>91</v>
      </c>
      <c r="U95" s="16">
        <f t="shared" si="74"/>
        <v>0</v>
      </c>
      <c r="V95" s="106">
        <f t="shared" si="93"/>
        <v>0</v>
      </c>
      <c r="W95" s="141">
        <f t="shared" si="94"/>
        <v>0</v>
      </c>
      <c r="X95" s="63">
        <f>($L95+SUM($W95:W95))*(P$11*P95)</f>
        <v>-64.01786424657563</v>
      </c>
      <c r="Y95" s="63">
        <f>($L95+SUM($W95:X95))*(Q$11*Q95)</f>
        <v>-140.7540277098561</v>
      </c>
      <c r="Z95" s="63">
        <f>($L95+SUM($W95:Y95))*(R$11*R95)</f>
        <v>-141.9070538546574</v>
      </c>
      <c r="AA95" s="63">
        <f>($L95+SUM($W95:Z95))*(S$11*S95)</f>
        <v>-139.95931826437715</v>
      </c>
      <c r="AB95" s="63">
        <f>($L95+SUM($W95:AA95))*(T$11*T95)</f>
        <v>-142.64847572877648</v>
      </c>
      <c r="AC95" s="63">
        <f>($L95+SUM($W95:AB95))*(U$11*U95)</f>
        <v>0</v>
      </c>
      <c r="AD95" s="63">
        <f>($L95+SUM($W95:AC95))*(V$11*V95)</f>
        <v>0</v>
      </c>
      <c r="AE95" s="110">
        <f t="shared" si="92"/>
        <v>-629.2867398042426</v>
      </c>
    </row>
    <row r="96" spans="1:31" ht="12.75">
      <c r="A96" s="3">
        <v>5</v>
      </c>
      <c r="B96" s="15">
        <f t="shared" si="82"/>
        <v>41760</v>
      </c>
      <c r="C96" s="243">
        <f t="shared" si="87"/>
        <v>41794</v>
      </c>
      <c r="D96" s="243">
        <f t="shared" si="87"/>
        <v>41809</v>
      </c>
      <c r="E96" s="30" t="s">
        <v>138</v>
      </c>
      <c r="F96" s="3">
        <v>9</v>
      </c>
      <c r="G96" s="362">
        <v>472</v>
      </c>
      <c r="H96" s="247">
        <f t="shared" si="88"/>
        <v>1586.22</v>
      </c>
      <c r="I96" s="247">
        <f t="shared" si="81"/>
        <v>1541.29</v>
      </c>
      <c r="J96" s="56">
        <f t="shared" si="83"/>
        <v>727488.88</v>
      </c>
      <c r="K96" s="57">
        <f t="shared" si="65"/>
        <v>748695.84</v>
      </c>
      <c r="L96" s="58">
        <f t="shared" si="95"/>
        <v>-21206.959999999963</v>
      </c>
      <c r="M96" s="55">
        <f t="shared" si="71"/>
        <v>-721.0764501957101</v>
      </c>
      <c r="N96" s="29">
        <f t="shared" si="96"/>
        <v>-21928.036450195672</v>
      </c>
      <c r="O96" s="16">
        <f t="shared" si="89"/>
        <v>0</v>
      </c>
      <c r="P96" s="16">
        <f t="shared" si="90"/>
        <v>12</v>
      </c>
      <c r="Q96" s="16">
        <f t="shared" si="91"/>
        <v>92</v>
      </c>
      <c r="R96" s="16">
        <f t="shared" si="73"/>
        <v>92</v>
      </c>
      <c r="S96" s="16">
        <f t="shared" si="74"/>
        <v>90</v>
      </c>
      <c r="T96" s="16">
        <f t="shared" si="74"/>
        <v>91</v>
      </c>
      <c r="U96" s="16">
        <f t="shared" si="74"/>
        <v>0</v>
      </c>
      <c r="V96" s="106">
        <f t="shared" si="93"/>
        <v>0</v>
      </c>
      <c r="W96" s="141">
        <f t="shared" si="94"/>
        <v>0</v>
      </c>
      <c r="X96" s="63">
        <f>($L96+SUM($W96:W96))*(P$11*P96)</f>
        <v>-22.659491506849275</v>
      </c>
      <c r="Y96" s="63">
        <f>($L96+SUM($W96:X96))*(Q$11*Q96)</f>
        <v>-173.90838980713798</v>
      </c>
      <c r="Z96" s="63">
        <f>($L96+SUM($W96:Y96))*(R$11*R96)</f>
        <v>-175.33300921953068</v>
      </c>
      <c r="AA96" s="63">
        <f>($L96+SUM($W96:Z96))*(S$11*S96)</f>
        <v>-172.92648795838474</v>
      </c>
      <c r="AB96" s="63">
        <f>($L96+SUM($W96:AA96))*(T$11*T96)</f>
        <v>-176.24907170380737</v>
      </c>
      <c r="AC96" s="63">
        <f>($L96+SUM($W96:AB96))*(U$11*U96)</f>
        <v>0</v>
      </c>
      <c r="AD96" s="63">
        <f>($L96+SUM($W96:AC96))*(V$11*V96)</f>
        <v>0</v>
      </c>
      <c r="AE96" s="110">
        <f t="shared" si="92"/>
        <v>-721.0764501957101</v>
      </c>
    </row>
    <row r="97" spans="1:31" ht="12.75">
      <c r="A97" s="3">
        <v>6</v>
      </c>
      <c r="B97" s="15">
        <f t="shared" si="82"/>
        <v>41791</v>
      </c>
      <c r="C97" s="243">
        <f t="shared" si="87"/>
        <v>41823</v>
      </c>
      <c r="D97" s="243">
        <f t="shared" si="87"/>
        <v>41838</v>
      </c>
      <c r="E97" s="30" t="s">
        <v>138</v>
      </c>
      <c r="F97" s="3">
        <v>9</v>
      </c>
      <c r="G97" s="362">
        <v>586</v>
      </c>
      <c r="H97" s="247">
        <f t="shared" si="88"/>
        <v>1586.22</v>
      </c>
      <c r="I97" s="247">
        <f t="shared" si="81"/>
        <v>1541.29</v>
      </c>
      <c r="J97" s="56">
        <f t="shared" si="83"/>
        <v>903195.94</v>
      </c>
      <c r="K97" s="57">
        <f t="shared" si="65"/>
        <v>929524.92</v>
      </c>
      <c r="L97" s="77">
        <f t="shared" si="95"/>
        <v>-26328.980000000098</v>
      </c>
      <c r="M97" s="78">
        <f t="shared" si="71"/>
        <v>-825.3461116500796</v>
      </c>
      <c r="N97" s="76">
        <f t="shared" si="96"/>
        <v>-27154.326111650178</v>
      </c>
      <c r="O97" s="16">
        <f aca="true" t="shared" si="97" ref="O97:U97">IF($D97&lt;O$8,O$12,IF($D97&lt;P$8,P$8-$D97,0))</f>
        <v>0</v>
      </c>
      <c r="P97" s="16">
        <f t="shared" si="97"/>
        <v>0</v>
      </c>
      <c r="Q97" s="16">
        <f t="shared" si="97"/>
        <v>75</v>
      </c>
      <c r="R97" s="16">
        <f t="shared" si="97"/>
        <v>92</v>
      </c>
      <c r="S97" s="16">
        <f t="shared" si="97"/>
        <v>90</v>
      </c>
      <c r="T97" s="16">
        <f t="shared" si="97"/>
        <v>91</v>
      </c>
      <c r="U97" s="16">
        <f t="shared" si="97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-175.82709246575408</v>
      </c>
      <c r="Z97" s="63">
        <f>($L97+SUM($W97:Y97))*(R$11*R97)</f>
        <v>-217.12157042869285</v>
      </c>
      <c r="AA97" s="63">
        <f>($L97+SUM($W97:Z97))*(S$11*S97)</f>
        <v>-214.14148312045626</v>
      </c>
      <c r="AB97" s="63">
        <f>($L97+SUM($W97:AA97))*(T$11*T97)</f>
        <v>-218.25596563517635</v>
      </c>
      <c r="AC97" s="63">
        <f>($L97+SUM($W97:AB97))*(U$11*U97)</f>
        <v>0</v>
      </c>
      <c r="AD97" s="63">
        <f>($L97+SUM($W97:AC97))*(V$11*V97)</f>
        <v>0</v>
      </c>
      <c r="AE97" s="110">
        <f t="shared" si="92"/>
        <v>-825.3461116500796</v>
      </c>
    </row>
    <row r="98" spans="1:31" ht="12.75">
      <c r="A98" s="16">
        <v>7</v>
      </c>
      <c r="B98" s="15">
        <f t="shared" si="82"/>
        <v>41821</v>
      </c>
      <c r="C98" s="243">
        <f t="shared" si="87"/>
        <v>41856</v>
      </c>
      <c r="D98" s="243">
        <f t="shared" si="87"/>
        <v>41871</v>
      </c>
      <c r="E98" s="30" t="s">
        <v>138</v>
      </c>
      <c r="F98" s="3">
        <v>9</v>
      </c>
      <c r="G98" s="362">
        <v>613</v>
      </c>
      <c r="H98" s="247">
        <f aca="true" t="shared" si="98" ref="H98:H103">$K$8</f>
        <v>1586.06</v>
      </c>
      <c r="I98" s="247">
        <f t="shared" si="81"/>
        <v>1541.29</v>
      </c>
      <c r="J98" s="56">
        <f t="shared" si="83"/>
        <v>944810.77</v>
      </c>
      <c r="K98" s="74">
        <f t="shared" si="65"/>
        <v>972254.7799999999</v>
      </c>
      <c r="L98" s="77">
        <f t="shared" si="95"/>
        <v>-27444.009999999893</v>
      </c>
      <c r="M98" s="75">
        <f t="shared" si="71"/>
        <v>-777.683024404638</v>
      </c>
      <c r="N98" s="76">
        <f t="shared" si="96"/>
        <v>-28221.693024404532</v>
      </c>
      <c r="O98" s="16">
        <f t="shared" si="89"/>
        <v>0</v>
      </c>
      <c r="P98" s="16">
        <f t="shared" si="90"/>
        <v>0</v>
      </c>
      <c r="Q98" s="16">
        <f t="shared" si="91"/>
        <v>42</v>
      </c>
      <c r="R98" s="16">
        <f t="shared" si="73"/>
        <v>92</v>
      </c>
      <c r="S98" s="16">
        <f t="shared" si="74"/>
        <v>90</v>
      </c>
      <c r="T98" s="16">
        <f t="shared" si="74"/>
        <v>91</v>
      </c>
      <c r="U98" s="16">
        <f t="shared" si="74"/>
        <v>0</v>
      </c>
      <c r="V98" s="106">
        <f t="shared" si="93"/>
        <v>0</v>
      </c>
      <c r="W98" s="141">
        <f t="shared" si="94"/>
        <v>0</v>
      </c>
      <c r="X98" s="63">
        <f>($L98+SUM($W98:W98))*(P$11*P98)</f>
        <v>0</v>
      </c>
      <c r="Y98" s="63">
        <f>($L98+SUM($W98:X98))*(Q$11*Q98)</f>
        <v>-102.63307849315028</v>
      </c>
      <c r="Z98" s="63">
        <f>($L98+SUM($W98:Y98))*(R$11*R98)</f>
        <v>-225.65606247861422</v>
      </c>
      <c r="AA98" s="63">
        <f>($L98+SUM($W98:Z98))*(S$11*S98)</f>
        <v>-222.55883558175915</v>
      </c>
      <c r="AB98" s="63">
        <f>($L98+SUM($W98:AA98))*(T$11*T98)</f>
        <v>-226.83504785111433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99" ref="AE98:AE103">SUM(W98:AD98)</f>
        <v>-777.683024404638</v>
      </c>
    </row>
    <row r="99" spans="1:31" ht="12.75">
      <c r="A99" s="3">
        <v>8</v>
      </c>
      <c r="B99" s="15">
        <f t="shared" si="82"/>
        <v>41852</v>
      </c>
      <c r="C99" s="243">
        <f t="shared" si="87"/>
        <v>41886</v>
      </c>
      <c r="D99" s="243">
        <f t="shared" si="87"/>
        <v>41901</v>
      </c>
      <c r="E99" s="30" t="s">
        <v>138</v>
      </c>
      <c r="F99" s="3">
        <v>9</v>
      </c>
      <c r="G99" s="362">
        <v>620</v>
      </c>
      <c r="H99" s="247">
        <f t="shared" si="98"/>
        <v>1586.06</v>
      </c>
      <c r="I99" s="247">
        <f t="shared" si="81"/>
        <v>1541.29</v>
      </c>
      <c r="J99" s="56">
        <f t="shared" si="83"/>
        <v>955599.7999999999</v>
      </c>
      <c r="K99" s="74">
        <f t="shared" si="65"/>
        <v>983357.2</v>
      </c>
      <c r="L99" s="77">
        <f t="shared" si="95"/>
        <v>-27757.400000000023</v>
      </c>
      <c r="M99" s="75">
        <f t="shared" si="71"/>
        <v>-710.6000896603214</v>
      </c>
      <c r="N99" s="76">
        <f t="shared" si="96"/>
        <v>-28468.000089660345</v>
      </c>
      <c r="O99" s="16">
        <f t="shared" si="89"/>
        <v>0</v>
      </c>
      <c r="P99" s="16">
        <f t="shared" si="90"/>
        <v>0</v>
      </c>
      <c r="Q99" s="16">
        <f t="shared" si="91"/>
        <v>12</v>
      </c>
      <c r="R99" s="16">
        <f t="shared" si="73"/>
        <v>92</v>
      </c>
      <c r="S99" s="16">
        <f t="shared" si="74"/>
        <v>90</v>
      </c>
      <c r="T99" s="16">
        <f t="shared" si="74"/>
        <v>91</v>
      </c>
      <c r="U99" s="16">
        <f t="shared" si="74"/>
        <v>0</v>
      </c>
      <c r="V99" s="106">
        <f t="shared" si="93"/>
        <v>0</v>
      </c>
      <c r="W99" s="141">
        <f t="shared" si="94"/>
        <v>0</v>
      </c>
      <c r="X99" s="63">
        <f>($L99+SUM($W99:W99))*(P$11*P99)</f>
        <v>0</v>
      </c>
      <c r="Y99" s="63">
        <f>($L99+SUM($W99:X99))*(Q$11*Q99)</f>
        <v>-29.658591780821943</v>
      </c>
      <c r="Z99" s="63">
        <f>($L99+SUM($W99:Y99))*(R$11*R99)</f>
        <v>-227.62549366965678</v>
      </c>
      <c r="AA99" s="63">
        <f>($L99+SUM($W99:Z99))*(S$11*S99)</f>
        <v>-224.5012354792951</v>
      </c>
      <c r="AB99" s="63">
        <f>($L99+SUM($W99:AA99))*(T$11*T99)</f>
        <v>-228.81476873054763</v>
      </c>
      <c r="AC99" s="63">
        <f>($L99+SUM($W99:AB99))*(U$11*U99)</f>
        <v>0</v>
      </c>
      <c r="AD99" s="63">
        <f>($L99+SUM($W99:AC99))*(V$11*V99)</f>
        <v>0</v>
      </c>
      <c r="AE99" s="110">
        <f t="shared" si="99"/>
        <v>-710.6000896603214</v>
      </c>
    </row>
    <row r="100" spans="1:31" ht="12.75">
      <c r="A100" s="3">
        <v>9</v>
      </c>
      <c r="B100" s="15">
        <f t="shared" si="82"/>
        <v>41883</v>
      </c>
      <c r="C100" s="243">
        <f t="shared" si="87"/>
        <v>41915</v>
      </c>
      <c r="D100" s="243">
        <f t="shared" si="87"/>
        <v>41932</v>
      </c>
      <c r="E100" s="30" t="s">
        <v>138</v>
      </c>
      <c r="F100" s="3">
        <v>9</v>
      </c>
      <c r="G100" s="362">
        <v>612</v>
      </c>
      <c r="H100" s="247">
        <f t="shared" si="98"/>
        <v>1586.06</v>
      </c>
      <c r="I100" s="247">
        <f t="shared" si="81"/>
        <v>1541.29</v>
      </c>
      <c r="J100" s="56">
        <f t="shared" si="83"/>
        <v>943269.48</v>
      </c>
      <c r="K100" s="74">
        <f t="shared" si="65"/>
        <v>970668.72</v>
      </c>
      <c r="L100" s="77">
        <f t="shared" si="95"/>
        <v>-27399.23999999999</v>
      </c>
      <c r="M100" s="75">
        <f t="shared" si="71"/>
        <v>-624.3341572542771</v>
      </c>
      <c r="N100" s="76">
        <f t="shared" si="96"/>
        <v>-28023.57415725427</v>
      </c>
      <c r="O100" s="16">
        <f t="shared" si="89"/>
        <v>0</v>
      </c>
      <c r="P100" s="16">
        <f t="shared" si="90"/>
        <v>0</v>
      </c>
      <c r="Q100" s="16">
        <f t="shared" si="91"/>
        <v>0</v>
      </c>
      <c r="R100" s="16">
        <f t="shared" si="73"/>
        <v>73</v>
      </c>
      <c r="S100" s="16">
        <f t="shared" si="74"/>
        <v>90</v>
      </c>
      <c r="T100" s="16">
        <f t="shared" si="74"/>
        <v>91</v>
      </c>
      <c r="U100" s="16">
        <f t="shared" si="74"/>
        <v>0</v>
      </c>
      <c r="V100" s="106">
        <f t="shared" si="93"/>
        <v>0</v>
      </c>
      <c r="W100" s="141">
        <f t="shared" si="94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-178.09505999999993</v>
      </c>
      <c r="AA100" s="63">
        <f>($L100+SUM($W100:Z100))*(S$11*S100)</f>
        <v>-220.9964521931506</v>
      </c>
      <c r="AB100" s="63">
        <f>($L100+SUM($W100:AA100))*(T$11*T100)</f>
        <v>-225.2426450611266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99"/>
        <v>-624.3341572542771</v>
      </c>
    </row>
    <row r="101" spans="1:31" ht="12.75">
      <c r="A101" s="16">
        <v>10</v>
      </c>
      <c r="B101" s="15">
        <f t="shared" si="82"/>
        <v>41913</v>
      </c>
      <c r="C101" s="243">
        <f t="shared" si="87"/>
        <v>41948</v>
      </c>
      <c r="D101" s="243">
        <f t="shared" si="87"/>
        <v>41963</v>
      </c>
      <c r="E101" s="30" t="s">
        <v>138</v>
      </c>
      <c r="F101" s="3">
        <v>9</v>
      </c>
      <c r="G101" s="362">
        <v>503</v>
      </c>
      <c r="H101" s="247">
        <f t="shared" si="98"/>
        <v>1586.06</v>
      </c>
      <c r="I101" s="247">
        <f t="shared" si="81"/>
        <v>1541.29</v>
      </c>
      <c r="J101" s="56">
        <f t="shared" si="83"/>
        <v>775268.87</v>
      </c>
      <c r="K101" s="74">
        <f t="shared" si="65"/>
        <v>797788.1799999999</v>
      </c>
      <c r="L101" s="77">
        <f t="shared" si="95"/>
        <v>-22519.30999999994</v>
      </c>
      <c r="M101" s="75">
        <f t="shared" si="71"/>
        <v>-449.9720967569638</v>
      </c>
      <c r="N101" s="76">
        <f t="shared" si="96"/>
        <v>-22969.282096756902</v>
      </c>
      <c r="O101" s="16">
        <f t="shared" si="89"/>
        <v>0</v>
      </c>
      <c r="P101" s="16">
        <f t="shared" si="90"/>
        <v>0</v>
      </c>
      <c r="Q101" s="16">
        <f t="shared" si="91"/>
        <v>0</v>
      </c>
      <c r="R101" s="16">
        <f t="shared" si="73"/>
        <v>42</v>
      </c>
      <c r="S101" s="16">
        <f t="shared" si="74"/>
        <v>90</v>
      </c>
      <c r="T101" s="16">
        <f t="shared" si="74"/>
        <v>91</v>
      </c>
      <c r="U101" s="16">
        <f t="shared" si="74"/>
        <v>0</v>
      </c>
      <c r="V101" s="106">
        <f t="shared" si="93"/>
        <v>0</v>
      </c>
      <c r="W101" s="141">
        <f t="shared" si="94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-84.21604972602717</v>
      </c>
      <c r="AA101" s="63">
        <f>($L101+SUM($W101:Z101))*(S$11*S101)</f>
        <v>-181.13784574095465</v>
      </c>
      <c r="AB101" s="63">
        <f>($L101+SUM($W101:AA101))*(T$11*T101)</f>
        <v>-184.61820128998198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99"/>
        <v>-449.9720967569638</v>
      </c>
    </row>
    <row r="102" spans="1:31" ht="12.75">
      <c r="A102" s="3">
        <v>11</v>
      </c>
      <c r="B102" s="15">
        <f t="shared" si="82"/>
        <v>41944</v>
      </c>
      <c r="C102" s="243">
        <f t="shared" si="87"/>
        <v>41976</v>
      </c>
      <c r="D102" s="243">
        <f t="shared" si="87"/>
        <v>41991</v>
      </c>
      <c r="E102" s="30" t="s">
        <v>138</v>
      </c>
      <c r="F102" s="3">
        <v>9</v>
      </c>
      <c r="G102" s="362">
        <v>721</v>
      </c>
      <c r="H102" s="247">
        <f t="shared" si="98"/>
        <v>1586.06</v>
      </c>
      <c r="I102" s="247">
        <f t="shared" si="81"/>
        <v>1541.29</v>
      </c>
      <c r="J102" s="56">
        <f t="shared" si="83"/>
        <v>1111270.09</v>
      </c>
      <c r="K102" s="74">
        <f t="shared" si="65"/>
        <v>1143549.26</v>
      </c>
      <c r="L102" s="77">
        <f t="shared" si="95"/>
        <v>-32279.169999999925</v>
      </c>
      <c r="M102" s="75">
        <f t="shared" si="71"/>
        <v>-563.2107642390878</v>
      </c>
      <c r="N102" s="76">
        <f t="shared" si="96"/>
        <v>-32842.38076423902</v>
      </c>
      <c r="O102" s="16">
        <f t="shared" si="89"/>
        <v>0</v>
      </c>
      <c r="P102" s="16">
        <f t="shared" si="90"/>
        <v>0</v>
      </c>
      <c r="Q102" s="16">
        <f t="shared" si="91"/>
        <v>0</v>
      </c>
      <c r="R102" s="16">
        <f aca="true" t="shared" si="100" ref="R102:R137">IF($D102&lt;R$8,R$12,IF($D102&lt;S$8,S$8-$D102,0))</f>
        <v>14</v>
      </c>
      <c r="S102" s="16">
        <f aca="true" t="shared" si="101" ref="S102:U137">IF($D102&lt;S$8,S$12,IF($D102&lt;T$8,T$8-$D102,0))</f>
        <v>90</v>
      </c>
      <c r="T102" s="16">
        <f t="shared" si="101"/>
        <v>91</v>
      </c>
      <c r="U102" s="16">
        <f t="shared" si="101"/>
        <v>0</v>
      </c>
      <c r="V102" s="106">
        <f t="shared" si="93"/>
        <v>0</v>
      </c>
      <c r="W102" s="141">
        <f t="shared" si="94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-40.23841739726018</v>
      </c>
      <c r="AA102" s="63">
        <f>($L102+SUM($W102:Z102))*(S$11*S102)</f>
        <v>-258.99799896133356</v>
      </c>
      <c r="AB102" s="63">
        <f>($L102+SUM($W102:AA102))*(T$11*T102)</f>
        <v>-263.97434788049407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99"/>
        <v>-563.2107642390878</v>
      </c>
    </row>
    <row r="103" spans="1:31" s="69" customFormat="1" ht="12.75">
      <c r="A103" s="3">
        <v>12</v>
      </c>
      <c r="B103" s="83">
        <f t="shared" si="82"/>
        <v>41974</v>
      </c>
      <c r="C103" s="243">
        <f t="shared" si="87"/>
        <v>42010</v>
      </c>
      <c r="D103" s="243">
        <f t="shared" si="87"/>
        <v>42025</v>
      </c>
      <c r="E103" s="84" t="s">
        <v>138</v>
      </c>
      <c r="F103" s="81">
        <v>9</v>
      </c>
      <c r="G103" s="363">
        <v>630</v>
      </c>
      <c r="H103" s="248">
        <f t="shared" si="98"/>
        <v>1586.06</v>
      </c>
      <c r="I103" s="248">
        <f t="shared" si="81"/>
        <v>1541.29</v>
      </c>
      <c r="J103" s="85">
        <f t="shared" si="83"/>
        <v>971012.7</v>
      </c>
      <c r="K103" s="86">
        <f t="shared" si="65"/>
        <v>999217.7999999999</v>
      </c>
      <c r="L103" s="87">
        <f t="shared" si="95"/>
        <v>-28205.099999999977</v>
      </c>
      <c r="M103" s="88">
        <f t="shared" si="71"/>
        <v>-405.76194802509815</v>
      </c>
      <c r="N103" s="89">
        <f t="shared" si="96"/>
        <v>-28610.861948025075</v>
      </c>
      <c r="O103" s="81">
        <f t="shared" si="89"/>
        <v>0</v>
      </c>
      <c r="P103" s="81">
        <f t="shared" si="90"/>
        <v>0</v>
      </c>
      <c r="Q103" s="81">
        <f t="shared" si="91"/>
        <v>0</v>
      </c>
      <c r="R103" s="81">
        <f t="shared" si="100"/>
        <v>0</v>
      </c>
      <c r="S103" s="81">
        <f t="shared" si="101"/>
        <v>70</v>
      </c>
      <c r="T103" s="81">
        <f t="shared" si="101"/>
        <v>91</v>
      </c>
      <c r="U103" s="81">
        <f t="shared" si="101"/>
        <v>0</v>
      </c>
      <c r="V103" s="107">
        <f t="shared" si="93"/>
        <v>0</v>
      </c>
      <c r="W103" s="142">
        <f t="shared" si="94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-175.79891095890397</v>
      </c>
      <c r="AB103" s="90">
        <f>($L103+SUM($W103:AA103))*(T$11*T103)</f>
        <v>-229.9630370661942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99"/>
        <v>-405.76194802509815</v>
      </c>
    </row>
    <row r="104" spans="1:31" ht="12.75">
      <c r="A104" s="16">
        <v>1</v>
      </c>
      <c r="B104" s="15">
        <f t="shared" si="82"/>
        <v>41640</v>
      </c>
      <c r="C104" s="242">
        <f t="shared" si="87"/>
        <v>41675</v>
      </c>
      <c r="D104" s="242">
        <f t="shared" si="87"/>
        <v>41690</v>
      </c>
      <c r="E104" s="118" t="s">
        <v>136</v>
      </c>
      <c r="F104" s="16">
        <v>9</v>
      </c>
      <c r="G104" s="362">
        <v>114</v>
      </c>
      <c r="H104" s="247">
        <f aca="true" t="shared" si="102" ref="H104:H109">$K$3</f>
        <v>1586.22</v>
      </c>
      <c r="I104" s="247">
        <f t="shared" si="81"/>
        <v>1541.29</v>
      </c>
      <c r="J104" s="56">
        <f t="shared" si="83"/>
        <v>175707.06</v>
      </c>
      <c r="K104" s="57">
        <f t="shared" si="65"/>
        <v>180829.08000000002</v>
      </c>
      <c r="L104" s="58">
        <f t="shared" si="95"/>
        <v>-5122.020000000019</v>
      </c>
      <c r="M104" s="55">
        <f t="shared" si="71"/>
        <v>-230.3688022411829</v>
      </c>
      <c r="N104" s="29">
        <f t="shared" si="96"/>
        <v>-5352.388802241201</v>
      </c>
      <c r="O104" s="16">
        <f t="shared" si="89"/>
        <v>40</v>
      </c>
      <c r="P104" s="16">
        <f t="shared" si="90"/>
        <v>91</v>
      </c>
      <c r="Q104" s="16">
        <f t="shared" si="91"/>
        <v>92</v>
      </c>
      <c r="R104" s="16">
        <f t="shared" si="100"/>
        <v>92</v>
      </c>
      <c r="S104" s="16">
        <f t="shared" si="101"/>
        <v>90</v>
      </c>
      <c r="T104" s="16">
        <f t="shared" si="101"/>
        <v>91</v>
      </c>
      <c r="U104" s="16">
        <f t="shared" si="101"/>
        <v>0</v>
      </c>
      <c r="V104" s="106">
        <f>IF(W$8&lt;V$8,0,IF($D104&lt;V$8,V$12,IF($D104&lt;W$8,W$8-$D104,0)))</f>
        <v>0</v>
      </c>
      <c r="W104" s="141">
        <f>$L104*O$11*O104</f>
        <v>-18.242810958904176</v>
      </c>
      <c r="X104" s="63">
        <f>($L104+SUM($W104:W104))*(P$11*P104)</f>
        <v>-41.650211680578124</v>
      </c>
      <c r="Y104" s="63">
        <f>($L104+SUM($W104:X104))*(Q$11*Q104)</f>
        <v>-42.4490957197044</v>
      </c>
      <c r="Z104" s="63">
        <f>($L104+SUM($W104:Y104))*(R$11*R104)</f>
        <v>-42.796829407928826</v>
      </c>
      <c r="AA104" s="63">
        <f>($L104+SUM($W104:Z104))*(S$11*S104)</f>
        <v>-42.20942444443525</v>
      </c>
      <c r="AB104" s="63">
        <f>($L104+SUM($W104:AA104))*(T$11*T104)</f>
        <v>-43.0204300296321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03" ref="AE104:AE109">SUM(W104:AD104)</f>
        <v>-230.3688022411829</v>
      </c>
    </row>
    <row r="105" spans="1:31" ht="12.75">
      <c r="A105" s="3">
        <v>2</v>
      </c>
      <c r="B105" s="15">
        <f t="shared" si="82"/>
        <v>41671</v>
      </c>
      <c r="C105" s="243">
        <f t="shared" si="87"/>
        <v>41703</v>
      </c>
      <c r="D105" s="243">
        <f t="shared" si="87"/>
        <v>41718</v>
      </c>
      <c r="E105" s="70" t="s">
        <v>136</v>
      </c>
      <c r="F105" s="3">
        <v>9</v>
      </c>
      <c r="G105" s="362">
        <v>103</v>
      </c>
      <c r="H105" s="247">
        <f t="shared" si="102"/>
        <v>1586.22</v>
      </c>
      <c r="I105" s="247">
        <f t="shared" si="81"/>
        <v>1541.29</v>
      </c>
      <c r="J105" s="56">
        <f t="shared" si="83"/>
        <v>158752.87</v>
      </c>
      <c r="K105" s="57">
        <f t="shared" si="65"/>
        <v>163380.66</v>
      </c>
      <c r="L105" s="58">
        <f t="shared" si="95"/>
        <v>-4627.790000000008</v>
      </c>
      <c r="M105" s="55">
        <f t="shared" si="71"/>
        <v>-196.12632011061976</v>
      </c>
      <c r="N105" s="29">
        <f t="shared" si="96"/>
        <v>-4823.916320110628</v>
      </c>
      <c r="O105" s="16">
        <f t="shared" si="89"/>
        <v>12</v>
      </c>
      <c r="P105" s="16">
        <f t="shared" si="90"/>
        <v>91</v>
      </c>
      <c r="Q105" s="16">
        <f t="shared" si="91"/>
        <v>92</v>
      </c>
      <c r="R105" s="16">
        <f t="shared" si="100"/>
        <v>92</v>
      </c>
      <c r="S105" s="16">
        <f t="shared" si="101"/>
        <v>90</v>
      </c>
      <c r="T105" s="16">
        <f t="shared" si="101"/>
        <v>91</v>
      </c>
      <c r="U105" s="16">
        <f t="shared" si="101"/>
        <v>0</v>
      </c>
      <c r="V105" s="106">
        <f aca="true" t="shared" si="104" ref="V105:V115">IF(W$8&lt;V$8,0,IF($D105&lt;V$8,V$12,IF($D105&lt;W$8,W$8-$D105,0)))</f>
        <v>0</v>
      </c>
      <c r="W105" s="141">
        <f aca="true" t="shared" si="105" ref="W105:W115">$L105*O$11*O105</f>
        <v>-4.944761917808227</v>
      </c>
      <c r="X105" s="63">
        <f>($L105+SUM($W105:W105))*(P$11*P105)</f>
        <v>-37.53784399553957</v>
      </c>
      <c r="Y105" s="63">
        <f>($L105+SUM($W105:X105))*(Q$11*Q105)</f>
        <v>-38.25784956624913</v>
      </c>
      <c r="Z105" s="63">
        <f>($L105+SUM($W105:Y105))*(R$11*R105)</f>
        <v>-38.571249484613745</v>
      </c>
      <c r="AA105" s="63">
        <f>($L105+SUM($W105:Z105))*(S$11*S105)</f>
        <v>-38.04184243019271</v>
      </c>
      <c r="AB105" s="63">
        <f>($L105+SUM($W105:AA105))*(T$11*T105)</f>
        <v>-38.77277271621636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03"/>
        <v>-196.12632011061976</v>
      </c>
    </row>
    <row r="106" spans="1:31" ht="12.75">
      <c r="A106" s="3">
        <v>3</v>
      </c>
      <c r="B106" s="15">
        <f t="shared" si="82"/>
        <v>41699</v>
      </c>
      <c r="C106" s="243">
        <f t="shared" si="87"/>
        <v>41733</v>
      </c>
      <c r="D106" s="243">
        <f t="shared" si="87"/>
        <v>41750</v>
      </c>
      <c r="E106" s="70" t="s">
        <v>136</v>
      </c>
      <c r="F106" s="3">
        <v>9</v>
      </c>
      <c r="G106" s="362">
        <v>109</v>
      </c>
      <c r="H106" s="247">
        <f t="shared" si="102"/>
        <v>1586.22</v>
      </c>
      <c r="I106" s="247">
        <f t="shared" si="81"/>
        <v>1541.29</v>
      </c>
      <c r="J106" s="56">
        <f t="shared" si="83"/>
        <v>168000.61</v>
      </c>
      <c r="K106" s="57">
        <f t="shared" si="65"/>
        <v>172897.98</v>
      </c>
      <c r="L106" s="58">
        <f>+J106-K106</f>
        <v>-4897.370000000024</v>
      </c>
      <c r="M106" s="55">
        <f t="shared" si="71"/>
        <v>-193.09414232400533</v>
      </c>
      <c r="N106" s="29">
        <f>SUM(L106:M106)</f>
        <v>-5090.46414232403</v>
      </c>
      <c r="O106" s="16">
        <f t="shared" si="89"/>
        <v>0</v>
      </c>
      <c r="P106" s="16">
        <f t="shared" si="90"/>
        <v>71</v>
      </c>
      <c r="Q106" s="16">
        <f t="shared" si="91"/>
        <v>92</v>
      </c>
      <c r="R106" s="16">
        <f t="shared" si="100"/>
        <v>92</v>
      </c>
      <c r="S106" s="16">
        <f t="shared" si="101"/>
        <v>90</v>
      </c>
      <c r="T106" s="16">
        <f t="shared" si="101"/>
        <v>91</v>
      </c>
      <c r="U106" s="16">
        <f t="shared" si="101"/>
        <v>0</v>
      </c>
      <c r="V106" s="106">
        <f t="shared" si="104"/>
        <v>0</v>
      </c>
      <c r="W106" s="141">
        <f t="shared" si="105"/>
        <v>0</v>
      </c>
      <c r="X106" s="63">
        <f>($L106+SUM($W106:W106))*(P$11*P106)</f>
        <v>-30.96077061643851</v>
      </c>
      <c r="Y106" s="63">
        <f>($L106+SUM($W106:X106))*(Q$11*Q106)</f>
        <v>-40.371805490803354</v>
      </c>
      <c r="Z106" s="63">
        <f>($L106+SUM($W106:Y106))*(R$11*R106)</f>
        <v>-40.70252247276911</v>
      </c>
      <c r="AA106" s="63">
        <f>($L106+SUM($W106:Z106))*(S$11*S106)</f>
        <v>-40.14386277629206</v>
      </c>
      <c r="AB106" s="63">
        <f>($L106+SUM($W106:AA106))*(T$11*T106)</f>
        <v>-40.9151809677023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03"/>
        <v>-193.09414232400533</v>
      </c>
    </row>
    <row r="107" spans="1:31" ht="12.75">
      <c r="A107" s="16">
        <v>4</v>
      </c>
      <c r="B107" s="15">
        <f t="shared" si="82"/>
        <v>41730</v>
      </c>
      <c r="C107" s="243">
        <f t="shared" si="87"/>
        <v>41764</v>
      </c>
      <c r="D107" s="243">
        <f t="shared" si="87"/>
        <v>41779</v>
      </c>
      <c r="E107" s="30" t="s">
        <v>136</v>
      </c>
      <c r="F107" s="3">
        <v>9</v>
      </c>
      <c r="G107" s="362">
        <v>46</v>
      </c>
      <c r="H107" s="247">
        <f t="shared" si="102"/>
        <v>1586.22</v>
      </c>
      <c r="I107" s="247">
        <f t="shared" si="81"/>
        <v>1541.29</v>
      </c>
      <c r="J107" s="56">
        <f t="shared" si="83"/>
        <v>70899.34</v>
      </c>
      <c r="K107" s="57">
        <f t="shared" si="65"/>
        <v>72966.12</v>
      </c>
      <c r="L107" s="58">
        <f aca="true" t="shared" si="106" ref="L107:L117">+J107-K107</f>
        <v>-2066.779999999999</v>
      </c>
      <c r="M107" s="55">
        <f t="shared" si="71"/>
        <v>-75.97687672177172</v>
      </c>
      <c r="N107" s="29">
        <f aca="true" t="shared" si="107" ref="N107:N117">SUM(L107:M107)</f>
        <v>-2142.7568767217704</v>
      </c>
      <c r="O107" s="16">
        <f aca="true" t="shared" si="108" ref="O107:U107">IF($D107&lt;O$8,O$12,IF($D107&lt;P$8,P$8-$D107,0))</f>
        <v>0</v>
      </c>
      <c r="P107" s="16">
        <f t="shared" si="108"/>
        <v>42</v>
      </c>
      <c r="Q107" s="16">
        <f t="shared" si="108"/>
        <v>92</v>
      </c>
      <c r="R107" s="16">
        <f t="shared" si="108"/>
        <v>92</v>
      </c>
      <c r="S107" s="16">
        <f t="shared" si="108"/>
        <v>90</v>
      </c>
      <c r="T107" s="16">
        <f t="shared" si="108"/>
        <v>91</v>
      </c>
      <c r="U107" s="16">
        <f t="shared" si="108"/>
        <v>0</v>
      </c>
      <c r="V107" s="106">
        <f>IF(W$8&lt;V$8,0,IF($D107&lt;V$8,V$12,IF($D107&lt;W$8,W$8-$D107,0)))</f>
        <v>0</v>
      </c>
      <c r="W107" s="141">
        <f>$L107*O$11*O107</f>
        <v>0</v>
      </c>
      <c r="X107" s="63">
        <f>($L107+SUM($W107:W107))*(P$11*P107)</f>
        <v>-7.7291909589041055</v>
      </c>
      <c r="Y107" s="63">
        <f>($L107+SUM($W107:X107))*(Q$11*Q107)</f>
        <v>-16.993924605389367</v>
      </c>
      <c r="Z107" s="63">
        <f>($L107+SUM($W107:Y107))*(R$11*R107)</f>
        <v>-17.133135111060913</v>
      </c>
      <c r="AA107" s="63">
        <f>($L107+SUM($W107:Z107))*(S$11*S107)</f>
        <v>-16.897975433494267</v>
      </c>
      <c r="AB107" s="63">
        <f>($L107+SUM($W107:AA107))*(T$11*T107)</f>
        <v>-17.22265061292306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03"/>
        <v>-75.97687672177172</v>
      </c>
    </row>
    <row r="108" spans="1:31" ht="12.75">
      <c r="A108" s="3">
        <v>5</v>
      </c>
      <c r="B108" s="15">
        <f t="shared" si="82"/>
        <v>41760</v>
      </c>
      <c r="C108" s="243">
        <f t="shared" si="87"/>
        <v>41794</v>
      </c>
      <c r="D108" s="243">
        <f t="shared" si="87"/>
        <v>41809</v>
      </c>
      <c r="E108" s="30" t="s">
        <v>136</v>
      </c>
      <c r="F108" s="3">
        <v>9</v>
      </c>
      <c r="G108" s="362">
        <v>58</v>
      </c>
      <c r="H108" s="247">
        <f t="shared" si="102"/>
        <v>1586.22</v>
      </c>
      <c r="I108" s="247">
        <f t="shared" si="81"/>
        <v>1541.29</v>
      </c>
      <c r="J108" s="56">
        <f t="shared" si="83"/>
        <v>89394.81999999999</v>
      </c>
      <c r="K108" s="57">
        <f t="shared" si="65"/>
        <v>92000.76</v>
      </c>
      <c r="L108" s="58">
        <f t="shared" si="106"/>
        <v>-2605.9400000000023</v>
      </c>
      <c r="M108" s="55">
        <f t="shared" si="71"/>
        <v>-88.60685193082902</v>
      </c>
      <c r="N108" s="29">
        <f t="shared" si="107"/>
        <v>-2694.5468519308315</v>
      </c>
      <c r="O108" s="16">
        <f t="shared" si="89"/>
        <v>0</v>
      </c>
      <c r="P108" s="16">
        <f t="shared" si="90"/>
        <v>12</v>
      </c>
      <c r="Q108" s="16">
        <f t="shared" si="91"/>
        <v>92</v>
      </c>
      <c r="R108" s="16">
        <f t="shared" si="100"/>
        <v>92</v>
      </c>
      <c r="S108" s="16">
        <f t="shared" si="101"/>
        <v>90</v>
      </c>
      <c r="T108" s="16">
        <f t="shared" si="101"/>
        <v>91</v>
      </c>
      <c r="U108" s="16">
        <f t="shared" si="101"/>
        <v>0</v>
      </c>
      <c r="V108" s="106">
        <f t="shared" si="104"/>
        <v>0</v>
      </c>
      <c r="W108" s="141">
        <f t="shared" si="105"/>
        <v>0</v>
      </c>
      <c r="X108" s="63">
        <f>($L108+SUM($W108:W108))*(P$11*P108)</f>
        <v>-2.784429041095893</v>
      </c>
      <c r="Y108" s="63">
        <f>($L108+SUM($W108:X108))*(Q$11*Q108)</f>
        <v>-21.37009874748735</v>
      </c>
      <c r="Z108" s="63">
        <f>($L108+SUM($W108:Y108))*(R$11*R108)</f>
        <v>-21.545157912569508</v>
      </c>
      <c r="AA108" s="63">
        <f>($L108+SUM($W108:Z108))*(S$11*S108)</f>
        <v>-21.249441316920212</v>
      </c>
      <c r="AB108" s="63">
        <f>($L108+SUM($W108:AA108))*(T$11*T108)</f>
        <v>-21.65772491275605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03"/>
        <v>-88.60685193082902</v>
      </c>
    </row>
    <row r="109" spans="1:31" ht="12.75">
      <c r="A109" s="3">
        <v>6</v>
      </c>
      <c r="B109" s="15">
        <f t="shared" si="82"/>
        <v>41791</v>
      </c>
      <c r="C109" s="243">
        <f t="shared" si="87"/>
        <v>41823</v>
      </c>
      <c r="D109" s="243">
        <f t="shared" si="87"/>
        <v>41838</v>
      </c>
      <c r="E109" s="30" t="s">
        <v>136</v>
      </c>
      <c r="F109" s="3">
        <v>9</v>
      </c>
      <c r="G109" s="362">
        <v>74</v>
      </c>
      <c r="H109" s="247">
        <f t="shared" si="102"/>
        <v>1586.22</v>
      </c>
      <c r="I109" s="247">
        <f t="shared" si="81"/>
        <v>1541.29</v>
      </c>
      <c r="J109" s="56">
        <f t="shared" si="83"/>
        <v>114055.45999999999</v>
      </c>
      <c r="K109" s="57">
        <f t="shared" si="65"/>
        <v>117380.28</v>
      </c>
      <c r="L109" s="77">
        <f t="shared" si="106"/>
        <v>-3324.820000000007</v>
      </c>
      <c r="M109" s="78">
        <f t="shared" si="71"/>
        <v>-104.2245943039348</v>
      </c>
      <c r="N109" s="76">
        <f t="shared" si="107"/>
        <v>-3429.0445943039417</v>
      </c>
      <c r="O109" s="16">
        <f t="shared" si="89"/>
        <v>0</v>
      </c>
      <c r="P109" s="16">
        <f t="shared" si="90"/>
        <v>0</v>
      </c>
      <c r="Q109" s="16">
        <f t="shared" si="91"/>
        <v>75</v>
      </c>
      <c r="R109" s="16">
        <f t="shared" si="100"/>
        <v>92</v>
      </c>
      <c r="S109" s="16">
        <f t="shared" si="101"/>
        <v>90</v>
      </c>
      <c r="T109" s="16">
        <f t="shared" si="101"/>
        <v>91</v>
      </c>
      <c r="U109" s="16">
        <f t="shared" si="101"/>
        <v>0</v>
      </c>
      <c r="V109" s="106">
        <f t="shared" si="104"/>
        <v>0</v>
      </c>
      <c r="W109" s="141">
        <f t="shared" si="105"/>
        <v>0</v>
      </c>
      <c r="X109" s="63">
        <f>($L109+SUM($W109:W109))*(P$11*P109)</f>
        <v>0</v>
      </c>
      <c r="Y109" s="63">
        <f>($L109+SUM($W109:X109))*(Q$11*Q109)</f>
        <v>-22.20342123287676</v>
      </c>
      <c r="Z109" s="63">
        <f>($L109+SUM($W109:Y109))*(R$11*R109)</f>
        <v>-27.418082272565265</v>
      </c>
      <c r="AA109" s="63">
        <f>($L109+SUM($W109:Z109))*(S$11*S109)</f>
        <v>-27.041757254119005</v>
      </c>
      <c r="AB109" s="63">
        <f>($L109+SUM($W109:AA109))*(T$11*T109)</f>
        <v>-27.56133354437376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03"/>
        <v>-104.2245943039348</v>
      </c>
    </row>
    <row r="110" spans="1:31" ht="12.75">
      <c r="A110" s="16">
        <v>7</v>
      </c>
      <c r="B110" s="15">
        <f t="shared" si="82"/>
        <v>41821</v>
      </c>
      <c r="C110" s="243">
        <f t="shared" si="87"/>
        <v>41856</v>
      </c>
      <c r="D110" s="243">
        <f t="shared" si="87"/>
        <v>41871</v>
      </c>
      <c r="E110" s="30" t="s">
        <v>136</v>
      </c>
      <c r="F110" s="3">
        <v>9</v>
      </c>
      <c r="G110" s="362">
        <v>78</v>
      </c>
      <c r="H110" s="247">
        <f aca="true" t="shared" si="109" ref="H110:H115">$K$8</f>
        <v>1586.06</v>
      </c>
      <c r="I110" s="247">
        <f t="shared" si="81"/>
        <v>1541.29</v>
      </c>
      <c r="J110" s="56">
        <f t="shared" si="83"/>
        <v>120220.62</v>
      </c>
      <c r="K110" s="74">
        <f t="shared" si="65"/>
        <v>123712.68</v>
      </c>
      <c r="L110" s="77">
        <f t="shared" si="106"/>
        <v>-3492.0599999999977</v>
      </c>
      <c r="M110" s="75">
        <f t="shared" si="71"/>
        <v>-98.95477308900809</v>
      </c>
      <c r="N110" s="76">
        <f t="shared" si="107"/>
        <v>-3591.0147730890058</v>
      </c>
      <c r="O110" s="16">
        <f t="shared" si="89"/>
        <v>0</v>
      </c>
      <c r="P110" s="16">
        <f t="shared" si="90"/>
        <v>0</v>
      </c>
      <c r="Q110" s="16">
        <f t="shared" si="91"/>
        <v>42</v>
      </c>
      <c r="R110" s="16">
        <f t="shared" si="100"/>
        <v>92</v>
      </c>
      <c r="S110" s="16">
        <f t="shared" si="101"/>
        <v>90</v>
      </c>
      <c r="T110" s="16">
        <f t="shared" si="101"/>
        <v>91</v>
      </c>
      <c r="U110" s="16">
        <f t="shared" si="101"/>
        <v>0</v>
      </c>
      <c r="V110" s="106">
        <f t="shared" si="104"/>
        <v>0</v>
      </c>
      <c r="W110" s="141">
        <f t="shared" si="105"/>
        <v>0</v>
      </c>
      <c r="X110" s="63">
        <f>($L110+SUM($W110:W110))*(P$11*P110)</f>
        <v>0</v>
      </c>
      <c r="Y110" s="63">
        <f>($L110+SUM($W110:X110))*(Q$11*Q110)</f>
        <v>-13.059347671232867</v>
      </c>
      <c r="Z110" s="63">
        <f>($L110+SUM($W110:Y110))*(R$11*R110)</f>
        <v>-28.713169450786243</v>
      </c>
      <c r="AA110" s="63">
        <f>($L110+SUM($W110:Z110))*(S$11*S110)</f>
        <v>-28.31906880159424</v>
      </c>
      <c r="AB110" s="63">
        <f>($L110+SUM($W110:AA110))*(T$11*T110)</f>
        <v>-28.863187165394738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0" ref="AE110:AE115">SUM(W110:AD110)</f>
        <v>-98.95477308900809</v>
      </c>
    </row>
    <row r="111" spans="1:31" ht="12.75">
      <c r="A111" s="3">
        <v>8</v>
      </c>
      <c r="B111" s="15">
        <f t="shared" si="82"/>
        <v>41852</v>
      </c>
      <c r="C111" s="243">
        <f t="shared" si="87"/>
        <v>41886</v>
      </c>
      <c r="D111" s="243">
        <f t="shared" si="87"/>
        <v>41901</v>
      </c>
      <c r="E111" s="30" t="s">
        <v>136</v>
      </c>
      <c r="F111" s="3">
        <v>9</v>
      </c>
      <c r="G111" s="362">
        <v>79</v>
      </c>
      <c r="H111" s="247">
        <f t="shared" si="109"/>
        <v>1586.06</v>
      </c>
      <c r="I111" s="247">
        <f t="shared" si="81"/>
        <v>1541.29</v>
      </c>
      <c r="J111" s="56">
        <f t="shared" si="83"/>
        <v>121761.91</v>
      </c>
      <c r="K111" s="74">
        <f t="shared" si="65"/>
        <v>125298.73999999999</v>
      </c>
      <c r="L111" s="77">
        <f t="shared" si="106"/>
        <v>-3536.829999999987</v>
      </c>
      <c r="M111" s="75">
        <f t="shared" si="71"/>
        <v>-90.54420497284701</v>
      </c>
      <c r="N111" s="76">
        <f t="shared" si="107"/>
        <v>-3627.3742049728344</v>
      </c>
      <c r="O111" s="16">
        <f t="shared" si="89"/>
        <v>0</v>
      </c>
      <c r="P111" s="16">
        <f t="shared" si="90"/>
        <v>0</v>
      </c>
      <c r="Q111" s="16">
        <f t="shared" si="91"/>
        <v>12</v>
      </c>
      <c r="R111" s="16">
        <f t="shared" si="100"/>
        <v>92</v>
      </c>
      <c r="S111" s="16">
        <f t="shared" si="101"/>
        <v>90</v>
      </c>
      <c r="T111" s="16">
        <f t="shared" si="101"/>
        <v>91</v>
      </c>
      <c r="U111" s="16">
        <f t="shared" si="101"/>
        <v>0</v>
      </c>
      <c r="V111" s="106">
        <f t="shared" si="104"/>
        <v>0</v>
      </c>
      <c r="W111" s="141">
        <f t="shared" si="105"/>
        <v>0</v>
      </c>
      <c r="X111" s="63">
        <f>($L111+SUM($W111:W111))*(P$11*P111)</f>
        <v>0</v>
      </c>
      <c r="Y111" s="63">
        <f>($L111+SUM($W111:X111))*(Q$11*Q111)</f>
        <v>-3.779078630136973</v>
      </c>
      <c r="Z111" s="63">
        <f>($L111+SUM($W111:Y111))*(R$11*R111)</f>
        <v>-29.00389354823033</v>
      </c>
      <c r="AA111" s="63">
        <f>($L111+SUM($W111:Z111))*(S$11*S111)</f>
        <v>-28.605802585264893</v>
      </c>
      <c r="AB111" s="63">
        <f>($L111+SUM($W111:AA111))*(T$11*T111)</f>
        <v>-29.155430209214806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0"/>
        <v>-90.54420497284701</v>
      </c>
    </row>
    <row r="112" spans="1:31" ht="12.75">
      <c r="A112" s="3">
        <v>9</v>
      </c>
      <c r="B112" s="15">
        <f t="shared" si="82"/>
        <v>41883</v>
      </c>
      <c r="C112" s="243">
        <f aca="true" t="shared" si="111" ref="C112:D131">+C100</f>
        <v>41915</v>
      </c>
      <c r="D112" s="243">
        <f t="shared" si="111"/>
        <v>41932</v>
      </c>
      <c r="E112" s="30" t="s">
        <v>136</v>
      </c>
      <c r="F112" s="3">
        <v>9</v>
      </c>
      <c r="G112" s="362">
        <v>78</v>
      </c>
      <c r="H112" s="247">
        <f t="shared" si="109"/>
        <v>1586.06</v>
      </c>
      <c r="I112" s="247">
        <f t="shared" si="81"/>
        <v>1541.29</v>
      </c>
      <c r="J112" s="56">
        <f t="shared" si="83"/>
        <v>120220.62</v>
      </c>
      <c r="K112" s="74">
        <f t="shared" si="65"/>
        <v>123712.68</v>
      </c>
      <c r="L112" s="77">
        <f t="shared" si="106"/>
        <v>-3492.0599999999977</v>
      </c>
      <c r="M112" s="75">
        <f t="shared" si="71"/>
        <v>-79.57200043436863</v>
      </c>
      <c r="N112" s="76">
        <f t="shared" si="107"/>
        <v>-3571.632000434366</v>
      </c>
      <c r="O112" s="16">
        <f t="shared" si="89"/>
        <v>0</v>
      </c>
      <c r="P112" s="16">
        <f t="shared" si="90"/>
        <v>0</v>
      </c>
      <c r="Q112" s="16">
        <f t="shared" si="91"/>
        <v>0</v>
      </c>
      <c r="R112" s="16">
        <f t="shared" si="100"/>
        <v>73</v>
      </c>
      <c r="S112" s="16">
        <f t="shared" si="101"/>
        <v>90</v>
      </c>
      <c r="T112" s="16">
        <f t="shared" si="101"/>
        <v>91</v>
      </c>
      <c r="U112" s="16">
        <f t="shared" si="101"/>
        <v>0</v>
      </c>
      <c r="V112" s="106">
        <f t="shared" si="104"/>
        <v>0</v>
      </c>
      <c r="W112" s="141">
        <f t="shared" si="105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-22.698389999999982</v>
      </c>
      <c r="AA112" s="63">
        <f>($L112+SUM($W112:Z112))*(S$11*S112)</f>
        <v>-28.16621449520546</v>
      </c>
      <c r="AB112" s="63">
        <f>($L112+SUM($W112:AA112))*(T$11*T112)</f>
        <v>-28.707395939163188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0"/>
        <v>-79.57200043436863</v>
      </c>
    </row>
    <row r="113" spans="1:31" ht="12.75">
      <c r="A113" s="16">
        <v>10</v>
      </c>
      <c r="B113" s="15">
        <f t="shared" si="82"/>
        <v>41913</v>
      </c>
      <c r="C113" s="243">
        <f t="shared" si="111"/>
        <v>41948</v>
      </c>
      <c r="D113" s="243">
        <f t="shared" si="111"/>
        <v>41963</v>
      </c>
      <c r="E113" s="30" t="s">
        <v>136</v>
      </c>
      <c r="F113" s="3">
        <v>9</v>
      </c>
      <c r="G113" s="362">
        <v>66</v>
      </c>
      <c r="H113" s="247">
        <f t="shared" si="109"/>
        <v>1586.06</v>
      </c>
      <c r="I113" s="247">
        <f t="shared" si="81"/>
        <v>1541.29</v>
      </c>
      <c r="J113" s="56">
        <f t="shared" si="83"/>
        <v>101725.14</v>
      </c>
      <c r="K113" s="74">
        <f t="shared" si="65"/>
        <v>104679.95999999999</v>
      </c>
      <c r="L113" s="77">
        <f t="shared" si="106"/>
        <v>-2954.8199999999924</v>
      </c>
      <c r="M113" s="75">
        <f t="shared" si="71"/>
        <v>-59.0420643856056</v>
      </c>
      <c r="N113" s="76">
        <f t="shared" si="107"/>
        <v>-3013.862064385598</v>
      </c>
      <c r="O113" s="16">
        <f t="shared" si="89"/>
        <v>0</v>
      </c>
      <c r="P113" s="16">
        <f t="shared" si="90"/>
        <v>0</v>
      </c>
      <c r="Q113" s="16">
        <f t="shared" si="91"/>
        <v>0</v>
      </c>
      <c r="R113" s="16">
        <f t="shared" si="100"/>
        <v>42</v>
      </c>
      <c r="S113" s="16">
        <f t="shared" si="101"/>
        <v>90</v>
      </c>
      <c r="T113" s="16">
        <f t="shared" si="101"/>
        <v>91</v>
      </c>
      <c r="U113" s="16">
        <f t="shared" si="101"/>
        <v>0</v>
      </c>
      <c r="V113" s="106">
        <f t="shared" si="104"/>
        <v>0</v>
      </c>
      <c r="W113" s="141">
        <f t="shared" si="105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-11.050217260273945</v>
      </c>
      <c r="AA113" s="63">
        <f>($L113+SUM($W113:Z113))*(S$11*S113)</f>
        <v>-23.767590097222683</v>
      </c>
      <c r="AB113" s="63">
        <f>($L113+SUM($W113:AA113))*(T$11*T113)</f>
        <v>-24.224257028108973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0"/>
        <v>-59.0420643856056</v>
      </c>
    </row>
    <row r="114" spans="1:31" ht="12.75">
      <c r="A114" s="3">
        <v>11</v>
      </c>
      <c r="B114" s="15">
        <f t="shared" si="82"/>
        <v>41944</v>
      </c>
      <c r="C114" s="243">
        <f t="shared" si="111"/>
        <v>41976</v>
      </c>
      <c r="D114" s="243">
        <f t="shared" si="111"/>
        <v>41991</v>
      </c>
      <c r="E114" s="30" t="s">
        <v>136</v>
      </c>
      <c r="F114" s="3">
        <v>9</v>
      </c>
      <c r="G114" s="362">
        <v>91</v>
      </c>
      <c r="H114" s="247">
        <f t="shared" si="109"/>
        <v>1586.06</v>
      </c>
      <c r="I114" s="247">
        <f t="shared" si="81"/>
        <v>1541.29</v>
      </c>
      <c r="J114" s="56">
        <f t="shared" si="83"/>
        <v>140257.38999999998</v>
      </c>
      <c r="K114" s="74">
        <f t="shared" si="65"/>
        <v>144331.46</v>
      </c>
      <c r="L114" s="77">
        <f t="shared" si="106"/>
        <v>-4074.070000000007</v>
      </c>
      <c r="M114" s="75">
        <f t="shared" si="71"/>
        <v>-71.08485373891429</v>
      </c>
      <c r="N114" s="76">
        <f t="shared" si="107"/>
        <v>-4145.154853738922</v>
      </c>
      <c r="O114" s="16">
        <f t="shared" si="89"/>
        <v>0</v>
      </c>
      <c r="P114" s="16">
        <f t="shared" si="90"/>
        <v>0</v>
      </c>
      <c r="Q114" s="16">
        <f t="shared" si="91"/>
        <v>0</v>
      </c>
      <c r="R114" s="16">
        <f t="shared" si="100"/>
        <v>14</v>
      </c>
      <c r="S114" s="16">
        <f t="shared" si="101"/>
        <v>90</v>
      </c>
      <c r="T114" s="16">
        <f t="shared" si="101"/>
        <v>91</v>
      </c>
      <c r="U114" s="16">
        <f t="shared" si="101"/>
        <v>0</v>
      </c>
      <c r="V114" s="106">
        <f t="shared" si="104"/>
        <v>0</v>
      </c>
      <c r="W114" s="141">
        <f t="shared" si="105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-5.078635205479461</v>
      </c>
      <c r="AA114" s="63">
        <f>($L114+SUM($W114:Z114))*(S$11*S114)</f>
        <v>-32.68906783007136</v>
      </c>
      <c r="AB114" s="63">
        <f>($L114+SUM($W114:AA114))*(T$11*T114)</f>
        <v>-33.31715070336346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0"/>
        <v>-71.08485373891429</v>
      </c>
    </row>
    <row r="115" spans="1:31" s="69" customFormat="1" ht="12.75">
      <c r="A115" s="3">
        <v>12</v>
      </c>
      <c r="B115" s="83">
        <f t="shared" si="82"/>
        <v>41974</v>
      </c>
      <c r="C115" s="243">
        <f t="shared" si="111"/>
        <v>42010</v>
      </c>
      <c r="D115" s="243">
        <f t="shared" si="111"/>
        <v>42025</v>
      </c>
      <c r="E115" s="84" t="s">
        <v>136</v>
      </c>
      <c r="F115" s="81">
        <v>9</v>
      </c>
      <c r="G115" s="363">
        <v>79</v>
      </c>
      <c r="H115" s="248">
        <f t="shared" si="109"/>
        <v>1586.06</v>
      </c>
      <c r="I115" s="248">
        <f t="shared" si="81"/>
        <v>1541.29</v>
      </c>
      <c r="J115" s="85">
        <f t="shared" si="83"/>
        <v>121761.91</v>
      </c>
      <c r="K115" s="86">
        <f t="shared" si="65"/>
        <v>125298.73999999999</v>
      </c>
      <c r="L115" s="87">
        <f t="shared" si="106"/>
        <v>-3536.829999999987</v>
      </c>
      <c r="M115" s="88">
        <f t="shared" si="71"/>
        <v>-50.88126014917884</v>
      </c>
      <c r="N115" s="89">
        <f t="shared" si="107"/>
        <v>-3587.7112601491663</v>
      </c>
      <c r="O115" s="81">
        <f t="shared" si="89"/>
        <v>0</v>
      </c>
      <c r="P115" s="81">
        <f t="shared" si="90"/>
        <v>0</v>
      </c>
      <c r="Q115" s="81">
        <f t="shared" si="91"/>
        <v>0</v>
      </c>
      <c r="R115" s="81">
        <f t="shared" si="100"/>
        <v>0</v>
      </c>
      <c r="S115" s="81">
        <f t="shared" si="101"/>
        <v>70</v>
      </c>
      <c r="T115" s="81">
        <f t="shared" si="101"/>
        <v>91</v>
      </c>
      <c r="U115" s="81">
        <f t="shared" si="101"/>
        <v>0</v>
      </c>
      <c r="V115" s="107">
        <f t="shared" si="104"/>
        <v>0</v>
      </c>
      <c r="W115" s="142">
        <f t="shared" si="105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-22.044625342465675</v>
      </c>
      <c r="AB115" s="90">
        <f>($L115+SUM($W115:AA115))*(T$11*T115)</f>
        <v>-28.836634806713164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0"/>
        <v>-50.88126014917884</v>
      </c>
    </row>
    <row r="116" spans="1:31" ht="12.75">
      <c r="A116" s="16">
        <v>1</v>
      </c>
      <c r="B116" s="15">
        <f t="shared" si="82"/>
        <v>41640</v>
      </c>
      <c r="C116" s="242">
        <f t="shared" si="111"/>
        <v>41675</v>
      </c>
      <c r="D116" s="242">
        <f t="shared" si="111"/>
        <v>41690</v>
      </c>
      <c r="E116" s="118" t="s">
        <v>139</v>
      </c>
      <c r="F116" s="16">
        <v>9</v>
      </c>
      <c r="G116" s="362">
        <v>134</v>
      </c>
      <c r="H116" s="247">
        <f aca="true" t="shared" si="112" ref="H116:H121">$K$3</f>
        <v>1586.22</v>
      </c>
      <c r="I116" s="247">
        <f aca="true" t="shared" si="113" ref="I116:I147">$J$3</f>
        <v>1541.29</v>
      </c>
      <c r="J116" s="56">
        <f t="shared" si="83"/>
        <v>206532.86</v>
      </c>
      <c r="K116" s="57">
        <f t="shared" si="65"/>
        <v>212553.48</v>
      </c>
      <c r="L116" s="58">
        <f t="shared" si="106"/>
        <v>-6020.620000000024</v>
      </c>
      <c r="M116" s="55">
        <f t="shared" si="71"/>
        <v>-270.7843815817414</v>
      </c>
      <c r="N116" s="29">
        <f t="shared" si="107"/>
        <v>-6291.404381581766</v>
      </c>
      <c r="O116" s="16">
        <f t="shared" si="89"/>
        <v>40</v>
      </c>
      <c r="P116" s="16">
        <f t="shared" si="90"/>
        <v>91</v>
      </c>
      <c r="Q116" s="16">
        <f t="shared" si="91"/>
        <v>92</v>
      </c>
      <c r="R116" s="16">
        <f t="shared" si="100"/>
        <v>92</v>
      </c>
      <c r="S116" s="16">
        <f t="shared" si="101"/>
        <v>90</v>
      </c>
      <c r="T116" s="16">
        <f t="shared" si="101"/>
        <v>91</v>
      </c>
      <c r="U116" s="16">
        <f t="shared" si="101"/>
        <v>0</v>
      </c>
      <c r="V116" s="106">
        <f>IF(W$8&lt;V$8,0,IF($D116&lt;V$8,V$12,IF($D116&lt;W$8,W$8-$D116,0)))</f>
        <v>0</v>
      </c>
      <c r="W116" s="141">
        <f>$L116*O$11*O116</f>
        <v>-21.44330410958913</v>
      </c>
      <c r="X116" s="63">
        <f>($L116+SUM($W116:W116))*(P$11*P116)</f>
        <v>-48.95726636138132</v>
      </c>
      <c r="Y116" s="63">
        <f>($L116+SUM($W116:X116))*(Q$11*Q116)</f>
        <v>-49.89630549509116</v>
      </c>
      <c r="Z116" s="63">
        <f>($L116+SUM($W116:Y116))*(R$11*R116)</f>
        <v>-50.305045093530396</v>
      </c>
      <c r="AA116" s="63">
        <f>($L116+SUM($W116:Z116))*(S$11*S116)</f>
        <v>-49.614586627669524</v>
      </c>
      <c r="AB116" s="63">
        <f>($L116+SUM($W116:AA116))*(T$11*T116)</f>
        <v>-50.56787389447986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14" ref="AE116:AE121">SUM(W116:AD116)</f>
        <v>-270.7843815817414</v>
      </c>
    </row>
    <row r="117" spans="1:31" ht="12.75">
      <c r="A117" s="3">
        <v>2</v>
      </c>
      <c r="B117" s="15">
        <f t="shared" si="82"/>
        <v>41671</v>
      </c>
      <c r="C117" s="243">
        <f t="shared" si="111"/>
        <v>41703</v>
      </c>
      <c r="D117" s="243">
        <f t="shared" si="111"/>
        <v>41718</v>
      </c>
      <c r="E117" s="70" t="s">
        <v>139</v>
      </c>
      <c r="F117" s="3">
        <v>9</v>
      </c>
      <c r="G117" s="362">
        <v>111</v>
      </c>
      <c r="H117" s="247">
        <f t="shared" si="112"/>
        <v>1586.22</v>
      </c>
      <c r="I117" s="247">
        <f t="shared" si="113"/>
        <v>1541.29</v>
      </c>
      <c r="J117" s="56">
        <f t="shared" si="83"/>
        <v>171083.19</v>
      </c>
      <c r="K117" s="57">
        <f t="shared" si="65"/>
        <v>176070.42</v>
      </c>
      <c r="L117" s="58">
        <f t="shared" si="106"/>
        <v>-4987.2300000000105</v>
      </c>
      <c r="M117" s="55">
        <f t="shared" si="71"/>
        <v>-211.35943235222135</v>
      </c>
      <c r="N117" s="29">
        <f t="shared" si="107"/>
        <v>-5198.589432352232</v>
      </c>
      <c r="O117" s="16">
        <f t="shared" si="89"/>
        <v>12</v>
      </c>
      <c r="P117" s="16">
        <f t="shared" si="90"/>
        <v>91</v>
      </c>
      <c r="Q117" s="16">
        <f t="shared" si="91"/>
        <v>92</v>
      </c>
      <c r="R117" s="16">
        <f t="shared" si="100"/>
        <v>92</v>
      </c>
      <c r="S117" s="16">
        <f t="shared" si="101"/>
        <v>90</v>
      </c>
      <c r="T117" s="16">
        <f t="shared" si="101"/>
        <v>91</v>
      </c>
      <c r="U117" s="16">
        <f t="shared" si="101"/>
        <v>0</v>
      </c>
      <c r="V117" s="106">
        <f aca="true" t="shared" si="115" ref="V117:V127">IF(W$8&lt;V$8,0,IF($D117&lt;V$8,V$12,IF($D117&lt;W$8,W$8-$D117,0)))</f>
        <v>0</v>
      </c>
      <c r="W117" s="141">
        <f aca="true" t="shared" si="116" ref="W117:W127">$L117*O$11*O117</f>
        <v>-5.328821095890422</v>
      </c>
      <c r="X117" s="63">
        <f>($L117+SUM($W117:W117))*(P$11*P117)</f>
        <v>-40.45340469422227</v>
      </c>
      <c r="Y117" s="63">
        <f>($L117+SUM($W117:X117))*(Q$11*Q117)</f>
        <v>-41.22933302770539</v>
      </c>
      <c r="Z117" s="63">
        <f>($L117+SUM($W117:Y117))*(R$11*R117)</f>
        <v>-41.5670746873022</v>
      </c>
      <c r="AA117" s="63">
        <f>($L117+SUM($W117:Z117))*(S$11*S117)</f>
        <v>-40.99654863836304</v>
      </c>
      <c r="AB117" s="63">
        <f>($L117+SUM($W117:AA117))*(T$11*T117)</f>
        <v>-41.78425020873804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14"/>
        <v>-211.35943235222135</v>
      </c>
    </row>
    <row r="118" spans="1:31" ht="12.75">
      <c r="A118" s="3">
        <v>3</v>
      </c>
      <c r="B118" s="15">
        <f t="shared" si="82"/>
        <v>41699</v>
      </c>
      <c r="C118" s="243">
        <f t="shared" si="111"/>
        <v>41733</v>
      </c>
      <c r="D118" s="243">
        <f t="shared" si="111"/>
        <v>41750</v>
      </c>
      <c r="E118" s="70" t="s">
        <v>139</v>
      </c>
      <c r="F118" s="3">
        <v>9</v>
      </c>
      <c r="G118" s="362">
        <v>111</v>
      </c>
      <c r="H118" s="247">
        <f t="shared" si="112"/>
        <v>1586.22</v>
      </c>
      <c r="I118" s="247">
        <f t="shared" si="113"/>
        <v>1541.29</v>
      </c>
      <c r="J118" s="56">
        <f t="shared" si="83"/>
        <v>171083.19</v>
      </c>
      <c r="K118" s="57">
        <f t="shared" si="65"/>
        <v>176070.42</v>
      </c>
      <c r="L118" s="58">
        <f>+J118-K118</f>
        <v>-4987.2300000000105</v>
      </c>
      <c r="M118" s="55">
        <f t="shared" si="71"/>
        <v>-196.63715410976633</v>
      </c>
      <c r="N118" s="29">
        <f>SUM(L118:M118)</f>
        <v>-5183.8671541097765</v>
      </c>
      <c r="O118" s="16">
        <f t="shared" si="89"/>
        <v>0</v>
      </c>
      <c r="P118" s="16">
        <f t="shared" si="90"/>
        <v>71</v>
      </c>
      <c r="Q118" s="16">
        <f t="shared" si="91"/>
        <v>92</v>
      </c>
      <c r="R118" s="16">
        <f t="shared" si="100"/>
        <v>92</v>
      </c>
      <c r="S118" s="16">
        <f t="shared" si="101"/>
        <v>90</v>
      </c>
      <c r="T118" s="16">
        <f t="shared" si="101"/>
        <v>91</v>
      </c>
      <c r="U118" s="16">
        <f t="shared" si="101"/>
        <v>0</v>
      </c>
      <c r="V118" s="106">
        <f t="shared" si="115"/>
        <v>0</v>
      </c>
      <c r="W118" s="141">
        <f t="shared" si="116"/>
        <v>0</v>
      </c>
      <c r="X118" s="63">
        <f>($L118+SUM($W118:W118))*(P$11*P118)</f>
        <v>-31.528858150684997</v>
      </c>
      <c r="Y118" s="63">
        <f>($L118+SUM($W118:X118))*(Q$11*Q118)</f>
        <v>-41.11257256402898</v>
      </c>
      <c r="Z118" s="63">
        <f>($L118+SUM($W118:Y118))*(R$11*R118)</f>
        <v>-41.4493577474987</v>
      </c>
      <c r="AA118" s="63">
        <f>($L118+SUM($W118:Z118))*(S$11*S118)</f>
        <v>-40.880447414389046</v>
      </c>
      <c r="AB118" s="63">
        <f>($L118+SUM($W118:AA118))*(T$11*T118)</f>
        <v>-41.665918233164604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14"/>
        <v>-196.63715410976633</v>
      </c>
    </row>
    <row r="119" spans="1:31" ht="12.75">
      <c r="A119" s="16">
        <v>4</v>
      </c>
      <c r="B119" s="15">
        <f t="shared" si="82"/>
        <v>41730</v>
      </c>
      <c r="C119" s="243">
        <f t="shared" si="111"/>
        <v>41764</v>
      </c>
      <c r="D119" s="243">
        <f t="shared" si="111"/>
        <v>41779</v>
      </c>
      <c r="E119" s="30" t="s">
        <v>139</v>
      </c>
      <c r="F119" s="3">
        <v>9</v>
      </c>
      <c r="G119" s="362">
        <v>66</v>
      </c>
      <c r="H119" s="247">
        <f t="shared" si="112"/>
        <v>1586.22</v>
      </c>
      <c r="I119" s="247">
        <f t="shared" si="113"/>
        <v>1541.29</v>
      </c>
      <c r="J119" s="56">
        <f t="shared" si="83"/>
        <v>101725.14</v>
      </c>
      <c r="K119" s="57">
        <f t="shared" si="65"/>
        <v>104690.52</v>
      </c>
      <c r="L119" s="58">
        <f aca="true" t="shared" si="117" ref="L119:L129">+J119-K119</f>
        <v>-2965.3800000000047</v>
      </c>
      <c r="M119" s="55">
        <f t="shared" si="71"/>
        <v>-109.01030138341183</v>
      </c>
      <c r="N119" s="29">
        <f aca="true" t="shared" si="118" ref="N119:N129">SUM(L119:M119)</f>
        <v>-3074.3903013834165</v>
      </c>
      <c r="O119" s="16">
        <f t="shared" si="89"/>
        <v>0</v>
      </c>
      <c r="P119" s="16">
        <f t="shared" si="90"/>
        <v>42</v>
      </c>
      <c r="Q119" s="16">
        <f t="shared" si="91"/>
        <v>92</v>
      </c>
      <c r="R119" s="16">
        <f t="shared" si="100"/>
        <v>92</v>
      </c>
      <c r="S119" s="16">
        <f t="shared" si="101"/>
        <v>90</v>
      </c>
      <c r="T119" s="16">
        <f t="shared" si="101"/>
        <v>91</v>
      </c>
      <c r="U119" s="16">
        <f t="shared" si="101"/>
        <v>0</v>
      </c>
      <c r="V119" s="106">
        <f t="shared" si="115"/>
        <v>0</v>
      </c>
      <c r="W119" s="141">
        <f t="shared" si="116"/>
        <v>0</v>
      </c>
      <c r="X119" s="63">
        <f>($L119+SUM($W119:W119))*(P$11*P119)</f>
        <v>-11.089708767123305</v>
      </c>
      <c r="Y119" s="63">
        <f>($L119+SUM($W119:X119))*(Q$11*Q119)</f>
        <v>-24.38258747729784</v>
      </c>
      <c r="Z119" s="63">
        <f>($L119+SUM($W119:Y119))*(R$11*R119)</f>
        <v>-24.582324289783102</v>
      </c>
      <c r="AA119" s="63">
        <f>($L119+SUM($W119:Z119))*(S$11*S119)</f>
        <v>-24.244921274144</v>
      </c>
      <c r="AB119" s="63">
        <f>($L119+SUM($W119:AA119))*(T$11*T119)</f>
        <v>-24.710759575063573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14"/>
        <v>-109.01030138341183</v>
      </c>
    </row>
    <row r="120" spans="1:31" ht="12.75">
      <c r="A120" s="3">
        <v>5</v>
      </c>
      <c r="B120" s="15">
        <f t="shared" si="82"/>
        <v>41760</v>
      </c>
      <c r="C120" s="243">
        <f t="shared" si="111"/>
        <v>41794</v>
      </c>
      <c r="D120" s="243">
        <f t="shared" si="111"/>
        <v>41809</v>
      </c>
      <c r="E120" s="30" t="s">
        <v>139</v>
      </c>
      <c r="F120" s="3">
        <v>9</v>
      </c>
      <c r="G120" s="362">
        <v>78</v>
      </c>
      <c r="H120" s="247">
        <f t="shared" si="112"/>
        <v>1586.22</v>
      </c>
      <c r="I120" s="247">
        <f t="shared" si="113"/>
        <v>1541.29</v>
      </c>
      <c r="J120" s="56">
        <f t="shared" si="83"/>
        <v>120220.62</v>
      </c>
      <c r="K120" s="57">
        <f t="shared" si="65"/>
        <v>123725.16</v>
      </c>
      <c r="L120" s="58">
        <f t="shared" si="117"/>
        <v>-3504.540000000008</v>
      </c>
      <c r="M120" s="55">
        <f t="shared" si="71"/>
        <v>-119.16093880352884</v>
      </c>
      <c r="N120" s="29">
        <f t="shared" si="118"/>
        <v>-3623.700938803537</v>
      </c>
      <c r="O120" s="16">
        <f aca="true" t="shared" si="119" ref="O120:U120">IF($D120&lt;O$8,O$12,IF($D120&lt;P$8,P$8-$D120,0))</f>
        <v>0</v>
      </c>
      <c r="P120" s="16">
        <f t="shared" si="119"/>
        <v>12</v>
      </c>
      <c r="Q120" s="16">
        <f t="shared" si="119"/>
        <v>92</v>
      </c>
      <c r="R120" s="16">
        <f t="shared" si="119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06">
        <f>IF(W$8&lt;V$8,0,IF($D120&lt;V$8,V$12,IF($D120&lt;W$8,W$8-$D120,0)))</f>
        <v>0</v>
      </c>
      <c r="W120" s="141">
        <f>$L120*O$11*O120</f>
        <v>0</v>
      </c>
      <c r="X120" s="63">
        <f>($L120+SUM($W120:W120))*(P$11*P120)</f>
        <v>-3.7445769863013787</v>
      </c>
      <c r="Y120" s="63">
        <f>($L120+SUM($W120:X120))*(Q$11*Q120)</f>
        <v>-28.739098315586478</v>
      </c>
      <c r="Z120" s="63">
        <f>($L120+SUM($W120:Y120))*(R$11*R120)</f>
        <v>-28.97452271000731</v>
      </c>
      <c r="AA120" s="63">
        <f>($L120+SUM($W120:Z120))*(S$11*S120)</f>
        <v>-28.576834874478948</v>
      </c>
      <c r="AB120" s="63">
        <f>($L120+SUM($W120:AA120))*(T$11*T120)</f>
        <v>-29.12590591715473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14"/>
        <v>-119.16093880352884</v>
      </c>
    </row>
    <row r="121" spans="1:31" ht="12.75">
      <c r="A121" s="3">
        <v>6</v>
      </c>
      <c r="B121" s="15">
        <f t="shared" si="82"/>
        <v>41791</v>
      </c>
      <c r="C121" s="243">
        <f t="shared" si="111"/>
        <v>41823</v>
      </c>
      <c r="D121" s="243">
        <f t="shared" si="111"/>
        <v>41838</v>
      </c>
      <c r="E121" s="30" t="s">
        <v>139</v>
      </c>
      <c r="F121" s="3">
        <v>9</v>
      </c>
      <c r="G121" s="362">
        <v>96</v>
      </c>
      <c r="H121" s="247">
        <f t="shared" si="112"/>
        <v>1586.22</v>
      </c>
      <c r="I121" s="247">
        <f t="shared" si="113"/>
        <v>1541.29</v>
      </c>
      <c r="J121" s="56">
        <f t="shared" si="83"/>
        <v>147963.84</v>
      </c>
      <c r="K121" s="57">
        <f t="shared" si="65"/>
        <v>152277.12</v>
      </c>
      <c r="L121" s="77">
        <f t="shared" si="117"/>
        <v>-4313.279999999999</v>
      </c>
      <c r="M121" s="78">
        <f t="shared" si="71"/>
        <v>-135.21028450240158</v>
      </c>
      <c r="N121" s="76">
        <f t="shared" si="118"/>
        <v>-4448.490284502401</v>
      </c>
      <c r="O121" s="16">
        <f t="shared" si="89"/>
        <v>0</v>
      </c>
      <c r="P121" s="16">
        <f t="shared" si="90"/>
        <v>0</v>
      </c>
      <c r="Q121" s="16">
        <f t="shared" si="91"/>
        <v>75</v>
      </c>
      <c r="R121" s="16">
        <f t="shared" si="100"/>
        <v>92</v>
      </c>
      <c r="S121" s="16">
        <f t="shared" si="101"/>
        <v>90</v>
      </c>
      <c r="T121" s="16">
        <f t="shared" si="101"/>
        <v>91</v>
      </c>
      <c r="U121" s="16">
        <f t="shared" si="101"/>
        <v>0</v>
      </c>
      <c r="V121" s="106">
        <f t="shared" si="115"/>
        <v>0</v>
      </c>
      <c r="W121" s="141">
        <f t="shared" si="116"/>
        <v>0</v>
      </c>
      <c r="X121" s="63">
        <f>($L121+SUM($W121:W121))*(P$11*P121)</f>
        <v>0</v>
      </c>
      <c r="Y121" s="63">
        <f>($L121+SUM($W121:X121))*(Q$11*Q121)</f>
        <v>-28.804438356164376</v>
      </c>
      <c r="Z121" s="63">
        <f>($L121+SUM($W121:Y121))*(R$11*R121)</f>
        <v>-35.56940402927378</v>
      </c>
      <c r="AA121" s="63">
        <f>($L121+SUM($W121:Z121))*(S$11*S121)</f>
        <v>-35.08119859993809</v>
      </c>
      <c r="AB121" s="63">
        <f>($L121+SUM($W121:AA121))*(T$11*T121)</f>
        <v>-35.755243517025335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14"/>
        <v>-135.21028450240158</v>
      </c>
    </row>
    <row r="122" spans="1:31" ht="12.75">
      <c r="A122" s="16">
        <v>7</v>
      </c>
      <c r="B122" s="15">
        <f t="shared" si="82"/>
        <v>41821</v>
      </c>
      <c r="C122" s="243">
        <f t="shared" si="111"/>
        <v>41856</v>
      </c>
      <c r="D122" s="243">
        <f t="shared" si="111"/>
        <v>41871</v>
      </c>
      <c r="E122" s="30" t="s">
        <v>139</v>
      </c>
      <c r="F122" s="3">
        <v>9</v>
      </c>
      <c r="G122" s="362">
        <v>97</v>
      </c>
      <c r="H122" s="247">
        <f aca="true" t="shared" si="120" ref="H122:H127">$K$8</f>
        <v>1586.06</v>
      </c>
      <c r="I122" s="247">
        <f t="shared" si="113"/>
        <v>1541.29</v>
      </c>
      <c r="J122" s="56">
        <f t="shared" si="83"/>
        <v>149505.13</v>
      </c>
      <c r="K122" s="74">
        <f t="shared" si="65"/>
        <v>153847.82</v>
      </c>
      <c r="L122" s="77">
        <f t="shared" si="117"/>
        <v>-4342.690000000002</v>
      </c>
      <c r="M122" s="75">
        <f t="shared" si="71"/>
        <v>-123.05914089274097</v>
      </c>
      <c r="N122" s="76">
        <f t="shared" si="118"/>
        <v>-4465.7491408927435</v>
      </c>
      <c r="O122" s="16">
        <f t="shared" si="89"/>
        <v>0</v>
      </c>
      <c r="P122" s="16">
        <f t="shared" si="90"/>
        <v>0</v>
      </c>
      <c r="Q122" s="16">
        <f t="shared" si="91"/>
        <v>42</v>
      </c>
      <c r="R122" s="16">
        <f t="shared" si="100"/>
        <v>92</v>
      </c>
      <c r="S122" s="16">
        <f t="shared" si="101"/>
        <v>90</v>
      </c>
      <c r="T122" s="16">
        <f t="shared" si="101"/>
        <v>91</v>
      </c>
      <c r="U122" s="16">
        <f t="shared" si="101"/>
        <v>0</v>
      </c>
      <c r="V122" s="106">
        <f t="shared" si="115"/>
        <v>0</v>
      </c>
      <c r="W122" s="141">
        <f t="shared" si="116"/>
        <v>0</v>
      </c>
      <c r="X122" s="63">
        <f>($L122+SUM($W122:W122))*(P$11*P122)</f>
        <v>0</v>
      </c>
      <c r="Y122" s="63">
        <f>($L122+SUM($W122:X122))*(Q$11*Q122)</f>
        <v>-16.240470821917818</v>
      </c>
      <c r="Z122" s="63">
        <f>($L122+SUM($W122:Y122))*(R$11*R122)</f>
        <v>-35.70740303495216</v>
      </c>
      <c r="AA122" s="63">
        <f>($L122+SUM($W122:Z122))*(S$11*S122)</f>
        <v>-35.21730350967493</v>
      </c>
      <c r="AB122" s="63">
        <f>($L122+SUM($W122:AA122))*(T$11*T122)</f>
        <v>-35.89396352619607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1" ref="AE122:AE127">SUM(W122:AD122)</f>
        <v>-123.05914089274097</v>
      </c>
    </row>
    <row r="123" spans="1:31" ht="12.75">
      <c r="A123" s="3">
        <v>8</v>
      </c>
      <c r="B123" s="15">
        <f t="shared" si="82"/>
        <v>41852</v>
      </c>
      <c r="C123" s="243">
        <f t="shared" si="111"/>
        <v>41886</v>
      </c>
      <c r="D123" s="243">
        <f t="shared" si="111"/>
        <v>41901</v>
      </c>
      <c r="E123" s="30" t="s">
        <v>139</v>
      </c>
      <c r="F123" s="3">
        <v>9</v>
      </c>
      <c r="G123" s="362">
        <v>101</v>
      </c>
      <c r="H123" s="247">
        <f t="shared" si="120"/>
        <v>1586.06</v>
      </c>
      <c r="I123" s="247">
        <f t="shared" si="113"/>
        <v>1541.29</v>
      </c>
      <c r="J123" s="56">
        <f t="shared" si="83"/>
        <v>155670.29</v>
      </c>
      <c r="K123" s="74">
        <f t="shared" si="65"/>
        <v>160192.06</v>
      </c>
      <c r="L123" s="77">
        <f t="shared" si="117"/>
        <v>-4521.7699999999895</v>
      </c>
      <c r="M123" s="75">
        <f t="shared" si="71"/>
        <v>-115.75904686401975</v>
      </c>
      <c r="N123" s="76">
        <f t="shared" si="118"/>
        <v>-4637.52904686401</v>
      </c>
      <c r="O123" s="16">
        <f t="shared" si="89"/>
        <v>0</v>
      </c>
      <c r="P123" s="16">
        <f t="shared" si="90"/>
        <v>0</v>
      </c>
      <c r="Q123" s="16">
        <f t="shared" si="91"/>
        <v>12</v>
      </c>
      <c r="R123" s="16">
        <f t="shared" si="100"/>
        <v>92</v>
      </c>
      <c r="S123" s="16">
        <f t="shared" si="101"/>
        <v>90</v>
      </c>
      <c r="T123" s="16">
        <f t="shared" si="101"/>
        <v>91</v>
      </c>
      <c r="U123" s="16">
        <f t="shared" si="101"/>
        <v>0</v>
      </c>
      <c r="V123" s="106">
        <f t="shared" si="115"/>
        <v>0</v>
      </c>
      <c r="W123" s="141">
        <f t="shared" si="116"/>
        <v>0</v>
      </c>
      <c r="X123" s="63">
        <f>($L123+SUM($W123:W123))*(P$11*P123)</f>
        <v>0</v>
      </c>
      <c r="Y123" s="63">
        <f>($L123+SUM($W123:X123))*(Q$11*Q123)</f>
        <v>-4.831480273972592</v>
      </c>
      <c r="Z123" s="63">
        <f>($L123+SUM($W123:Y123))*(R$11*R123)</f>
        <v>-37.080927194573</v>
      </c>
      <c r="AA123" s="63">
        <f>($L123+SUM($W123:Z123))*(S$11*S123)</f>
        <v>-36.57197545711087</v>
      </c>
      <c r="AB123" s="63">
        <f>($L123+SUM($W123:AA123))*(T$11*T123)</f>
        <v>-37.27466393836328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1"/>
        <v>-115.75904686401975</v>
      </c>
    </row>
    <row r="124" spans="1:31" ht="12.75">
      <c r="A124" s="3">
        <v>9</v>
      </c>
      <c r="B124" s="15">
        <f t="shared" si="82"/>
        <v>41883</v>
      </c>
      <c r="C124" s="243">
        <f t="shared" si="111"/>
        <v>41915</v>
      </c>
      <c r="D124" s="243">
        <f t="shared" si="111"/>
        <v>41932</v>
      </c>
      <c r="E124" s="30" t="s">
        <v>139</v>
      </c>
      <c r="F124" s="3">
        <v>9</v>
      </c>
      <c r="G124" s="362">
        <v>98</v>
      </c>
      <c r="H124" s="247">
        <f t="shared" si="120"/>
        <v>1586.06</v>
      </c>
      <c r="I124" s="247">
        <f t="shared" si="113"/>
        <v>1541.29</v>
      </c>
      <c r="J124" s="56">
        <f t="shared" si="83"/>
        <v>151046.41999999998</v>
      </c>
      <c r="K124" s="74">
        <f t="shared" si="65"/>
        <v>155433.88</v>
      </c>
      <c r="L124" s="77">
        <f t="shared" si="117"/>
        <v>-4387.460000000021</v>
      </c>
      <c r="M124" s="75">
        <f t="shared" si="71"/>
        <v>-99.97507746882266</v>
      </c>
      <c r="N124" s="76">
        <f t="shared" si="118"/>
        <v>-4487.435077468844</v>
      </c>
      <c r="O124" s="16">
        <f t="shared" si="89"/>
        <v>0</v>
      </c>
      <c r="P124" s="16">
        <f t="shared" si="90"/>
        <v>0</v>
      </c>
      <c r="Q124" s="16">
        <f t="shared" si="91"/>
        <v>0</v>
      </c>
      <c r="R124" s="16">
        <f t="shared" si="100"/>
        <v>73</v>
      </c>
      <c r="S124" s="16">
        <f t="shared" si="101"/>
        <v>90</v>
      </c>
      <c r="T124" s="16">
        <f t="shared" si="101"/>
        <v>91</v>
      </c>
      <c r="U124" s="16">
        <f t="shared" si="101"/>
        <v>0</v>
      </c>
      <c r="V124" s="106">
        <f t="shared" si="115"/>
        <v>0</v>
      </c>
      <c r="W124" s="141">
        <f t="shared" si="116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-28.518490000000135</v>
      </c>
      <c r="AA124" s="63">
        <f>($L124+SUM($W124:Z124))*(S$11*S124)</f>
        <v>-35.38832077602756</v>
      </c>
      <c r="AB124" s="63">
        <f>($L124+SUM($W124:AA124))*(T$11*T124)</f>
        <v>-36.06826669279497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1"/>
        <v>-99.97507746882266</v>
      </c>
    </row>
    <row r="125" spans="1:31" ht="12.75">
      <c r="A125" s="16">
        <v>10</v>
      </c>
      <c r="B125" s="15">
        <f t="shared" si="82"/>
        <v>41913</v>
      </c>
      <c r="C125" s="243">
        <f t="shared" si="111"/>
        <v>41948</v>
      </c>
      <c r="D125" s="243">
        <f t="shared" si="111"/>
        <v>41963</v>
      </c>
      <c r="E125" s="30" t="s">
        <v>139</v>
      </c>
      <c r="F125" s="3">
        <v>9</v>
      </c>
      <c r="G125" s="362">
        <v>80</v>
      </c>
      <c r="H125" s="247">
        <f t="shared" si="120"/>
        <v>1586.06</v>
      </c>
      <c r="I125" s="247">
        <f t="shared" si="113"/>
        <v>1541.29</v>
      </c>
      <c r="J125" s="56">
        <f t="shared" si="83"/>
        <v>123303.2</v>
      </c>
      <c r="K125" s="74">
        <f t="shared" si="65"/>
        <v>126884.79999999999</v>
      </c>
      <c r="L125" s="77">
        <f t="shared" si="117"/>
        <v>-3581.5999999999913</v>
      </c>
      <c r="M125" s="75">
        <f t="shared" si="71"/>
        <v>-71.56613864921891</v>
      </c>
      <c r="N125" s="76">
        <f t="shared" si="118"/>
        <v>-3653.16613864921</v>
      </c>
      <c r="O125" s="16">
        <f t="shared" si="89"/>
        <v>0</v>
      </c>
      <c r="P125" s="16">
        <f t="shared" si="90"/>
        <v>0</v>
      </c>
      <c r="Q125" s="16">
        <f t="shared" si="91"/>
        <v>0</v>
      </c>
      <c r="R125" s="16">
        <f t="shared" si="100"/>
        <v>42</v>
      </c>
      <c r="S125" s="16">
        <f t="shared" si="101"/>
        <v>90</v>
      </c>
      <c r="T125" s="16">
        <f t="shared" si="101"/>
        <v>91</v>
      </c>
      <c r="U125" s="16">
        <f t="shared" si="101"/>
        <v>0</v>
      </c>
      <c r="V125" s="106">
        <f t="shared" si="115"/>
        <v>0</v>
      </c>
      <c r="W125" s="141">
        <f t="shared" si="116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-13.394202739725994</v>
      </c>
      <c r="AA125" s="63">
        <f>($L125+SUM($W125:Z125))*(S$11*S125)</f>
        <v>-28.809200117845677</v>
      </c>
      <c r="AB125" s="63">
        <f>($L125+SUM($W125:AA125))*(T$11*T125)</f>
        <v>-29.36273579164724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1"/>
        <v>-71.56613864921891</v>
      </c>
    </row>
    <row r="126" spans="1:31" ht="12.75">
      <c r="A126" s="3">
        <v>11</v>
      </c>
      <c r="B126" s="15">
        <f t="shared" si="82"/>
        <v>41944</v>
      </c>
      <c r="C126" s="243">
        <f t="shared" si="111"/>
        <v>41976</v>
      </c>
      <c r="D126" s="243">
        <f t="shared" si="111"/>
        <v>41991</v>
      </c>
      <c r="E126" s="30" t="s">
        <v>139</v>
      </c>
      <c r="F126" s="3">
        <v>9</v>
      </c>
      <c r="G126" s="362">
        <v>57</v>
      </c>
      <c r="H126" s="247">
        <f t="shared" si="120"/>
        <v>1586.06</v>
      </c>
      <c r="I126" s="247">
        <f t="shared" si="113"/>
        <v>1541.29</v>
      </c>
      <c r="J126" s="56">
        <f t="shared" si="83"/>
        <v>87853.53</v>
      </c>
      <c r="K126" s="74">
        <f t="shared" si="65"/>
        <v>90405.42</v>
      </c>
      <c r="L126" s="77">
        <f t="shared" si="117"/>
        <v>-2551.8899999999994</v>
      </c>
      <c r="M126" s="75">
        <f t="shared" si="71"/>
        <v>-44.525677616682486</v>
      </c>
      <c r="N126" s="76">
        <f t="shared" si="118"/>
        <v>-2596.415677616682</v>
      </c>
      <c r="O126" s="16">
        <f t="shared" si="89"/>
        <v>0</v>
      </c>
      <c r="P126" s="16">
        <f t="shared" si="90"/>
        <v>0</v>
      </c>
      <c r="Q126" s="16">
        <f t="shared" si="91"/>
        <v>0</v>
      </c>
      <c r="R126" s="16">
        <f t="shared" si="100"/>
        <v>14</v>
      </c>
      <c r="S126" s="16">
        <f t="shared" si="101"/>
        <v>90</v>
      </c>
      <c r="T126" s="16">
        <f t="shared" si="101"/>
        <v>91</v>
      </c>
      <c r="U126" s="16">
        <f t="shared" si="101"/>
        <v>0</v>
      </c>
      <c r="V126" s="106">
        <f t="shared" si="115"/>
        <v>0</v>
      </c>
      <c r="W126" s="141">
        <f t="shared" si="116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-3.1811231506849307</v>
      </c>
      <c r="AA126" s="63">
        <f>($L126+SUM($W126:Z126))*(S$11*S126)</f>
        <v>-20.475569959495207</v>
      </c>
      <c r="AB126" s="63">
        <f>($L126+SUM($W126:AA126))*(T$11*T126)</f>
        <v>-20.868984506502347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1"/>
        <v>-44.525677616682486</v>
      </c>
    </row>
    <row r="127" spans="1:31" s="69" customFormat="1" ht="12.75">
      <c r="A127" s="3">
        <v>12</v>
      </c>
      <c r="B127" s="83">
        <f t="shared" si="82"/>
        <v>41974</v>
      </c>
      <c r="C127" s="243">
        <f t="shared" si="111"/>
        <v>42010</v>
      </c>
      <c r="D127" s="243">
        <f t="shared" si="111"/>
        <v>42025</v>
      </c>
      <c r="E127" s="84" t="s">
        <v>139</v>
      </c>
      <c r="F127" s="81">
        <v>9</v>
      </c>
      <c r="G127" s="363">
        <v>98</v>
      </c>
      <c r="H127" s="248">
        <f t="shared" si="120"/>
        <v>1586.06</v>
      </c>
      <c r="I127" s="248">
        <f t="shared" si="113"/>
        <v>1541.29</v>
      </c>
      <c r="J127" s="85">
        <f t="shared" si="83"/>
        <v>151046.41999999998</v>
      </c>
      <c r="K127" s="86">
        <f t="shared" si="65"/>
        <v>155433.88</v>
      </c>
      <c r="L127" s="87">
        <f t="shared" si="117"/>
        <v>-4387.460000000021</v>
      </c>
      <c r="M127" s="88">
        <f t="shared" si="71"/>
        <v>-63.11852524834896</v>
      </c>
      <c r="N127" s="89">
        <f t="shared" si="118"/>
        <v>-4450.57852524837</v>
      </c>
      <c r="O127" s="81">
        <f t="shared" si="89"/>
        <v>0</v>
      </c>
      <c r="P127" s="81">
        <f t="shared" si="90"/>
        <v>0</v>
      </c>
      <c r="Q127" s="81">
        <f t="shared" si="91"/>
        <v>0</v>
      </c>
      <c r="R127" s="81">
        <f t="shared" si="100"/>
        <v>0</v>
      </c>
      <c r="S127" s="81">
        <f t="shared" si="101"/>
        <v>70</v>
      </c>
      <c r="T127" s="81">
        <f t="shared" si="101"/>
        <v>91</v>
      </c>
      <c r="U127" s="81">
        <f t="shared" si="101"/>
        <v>0</v>
      </c>
      <c r="V127" s="107">
        <f t="shared" si="115"/>
        <v>0</v>
      </c>
      <c r="W127" s="142">
        <f t="shared" si="116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-27.346497260274102</v>
      </c>
      <c r="AB127" s="90">
        <f>($L127+SUM($W127:AA127))*(T$11*T127)</f>
        <v>-35.77202798807486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1"/>
        <v>-63.11852524834896</v>
      </c>
    </row>
    <row r="128" spans="1:31" ht="12.75">
      <c r="A128" s="16">
        <v>1</v>
      </c>
      <c r="B128" s="15">
        <f t="shared" si="82"/>
        <v>41640</v>
      </c>
      <c r="C128" s="242">
        <f t="shared" si="111"/>
        <v>41675</v>
      </c>
      <c r="D128" s="242">
        <f t="shared" si="111"/>
        <v>41690</v>
      </c>
      <c r="E128" s="118" t="s">
        <v>140</v>
      </c>
      <c r="F128" s="16">
        <v>9</v>
      </c>
      <c r="G128" s="362">
        <v>7</v>
      </c>
      <c r="H128" s="247">
        <f aca="true" t="shared" si="122" ref="H128:H133">$K$3</f>
        <v>1586.22</v>
      </c>
      <c r="I128" s="247">
        <f t="shared" si="113"/>
        <v>1541.29</v>
      </c>
      <c r="J128" s="56">
        <f t="shared" si="83"/>
        <v>10789.029999999999</v>
      </c>
      <c r="K128" s="57">
        <f t="shared" si="65"/>
        <v>11103.54</v>
      </c>
      <c r="L128" s="58">
        <f t="shared" si="117"/>
        <v>-314.51000000000204</v>
      </c>
      <c r="M128" s="55">
        <f t="shared" si="71"/>
        <v>-14.14545276919548</v>
      </c>
      <c r="N128" s="29">
        <f t="shared" si="118"/>
        <v>-328.6554527691975</v>
      </c>
      <c r="O128" s="16">
        <f aca="true" t="shared" si="123" ref="O128:Q139">IF($D128&lt;O$8,O$12,IF($D128&lt;P$8,P$8-$D128,0))</f>
        <v>40</v>
      </c>
      <c r="P128" s="16">
        <f t="shared" si="123"/>
        <v>91</v>
      </c>
      <c r="Q128" s="16">
        <f t="shared" si="123"/>
        <v>92</v>
      </c>
      <c r="R128" s="16">
        <f t="shared" si="100"/>
        <v>92</v>
      </c>
      <c r="S128" s="16">
        <f t="shared" si="101"/>
        <v>90</v>
      </c>
      <c r="T128" s="16">
        <f t="shared" si="101"/>
        <v>91</v>
      </c>
      <c r="U128" s="16">
        <f t="shared" si="101"/>
        <v>0</v>
      </c>
      <c r="V128" s="106">
        <f>IF(W$8&lt;V$8,0,IF($D128&lt;V$8,V$12,IF($D128&lt;W$8,W$8-$D128,0)))</f>
        <v>0</v>
      </c>
      <c r="W128" s="141">
        <f>$L128*O$11*O128</f>
        <v>-1.1201726027397332</v>
      </c>
      <c r="X128" s="63">
        <f>($L128+SUM($W128:W128))*(P$11*P128)</f>
        <v>-2.55746913828112</v>
      </c>
      <c r="Y128" s="63">
        <f>($L128+SUM($W128:X128))*(Q$11*Q128)</f>
        <v>-2.6065234213853654</v>
      </c>
      <c r="Z128" s="63">
        <f>($L128+SUM($W128:Y128))*(R$11*R128)</f>
        <v>-2.6278754899605494</v>
      </c>
      <c r="AA128" s="63">
        <f>($L128+SUM($W128:Z128))*(S$11*S128)</f>
        <v>-2.5918067641319964</v>
      </c>
      <c r="AB128" s="63">
        <f>($L128+SUM($W128:AA128))*(T$11*T128)</f>
        <v>-2.6416053526967156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24" ref="AE128:AE133">SUM(W128:AD128)</f>
        <v>-14.14545276919548</v>
      </c>
    </row>
    <row r="129" spans="1:31" ht="12.75">
      <c r="A129" s="3">
        <v>2</v>
      </c>
      <c r="B129" s="15">
        <f t="shared" si="82"/>
        <v>41671</v>
      </c>
      <c r="C129" s="243">
        <f t="shared" si="111"/>
        <v>41703</v>
      </c>
      <c r="D129" s="243">
        <f t="shared" si="111"/>
        <v>41718</v>
      </c>
      <c r="E129" s="70" t="s">
        <v>140</v>
      </c>
      <c r="F129" s="3">
        <v>9</v>
      </c>
      <c r="G129" s="362">
        <v>9</v>
      </c>
      <c r="H129" s="247">
        <f t="shared" si="122"/>
        <v>1586.22</v>
      </c>
      <c r="I129" s="247">
        <f t="shared" si="113"/>
        <v>1541.29</v>
      </c>
      <c r="J129" s="56">
        <f t="shared" si="83"/>
        <v>13871.61</v>
      </c>
      <c r="K129" s="57">
        <f t="shared" si="65"/>
        <v>14275.98</v>
      </c>
      <c r="L129" s="58">
        <f t="shared" si="117"/>
        <v>-404.369999999999</v>
      </c>
      <c r="M129" s="55">
        <f t="shared" si="71"/>
        <v>-17.137251271801652</v>
      </c>
      <c r="N129" s="29">
        <f t="shared" si="118"/>
        <v>-421.5072512718006</v>
      </c>
      <c r="O129" s="16">
        <f t="shared" si="123"/>
        <v>12</v>
      </c>
      <c r="P129" s="16">
        <f t="shared" si="123"/>
        <v>91</v>
      </c>
      <c r="Q129" s="16">
        <f t="shared" si="123"/>
        <v>92</v>
      </c>
      <c r="R129" s="16">
        <f t="shared" si="100"/>
        <v>92</v>
      </c>
      <c r="S129" s="16">
        <f t="shared" si="101"/>
        <v>90</v>
      </c>
      <c r="T129" s="16">
        <f t="shared" si="101"/>
        <v>91</v>
      </c>
      <c r="U129" s="16">
        <f t="shared" si="101"/>
        <v>0</v>
      </c>
      <c r="V129" s="106">
        <f aca="true" t="shared" si="125" ref="V129:V151">IF(W$8&lt;V$8,0,IF($D129&lt;V$8,V$12,IF($D129&lt;W$8,W$8-$D129,0)))</f>
        <v>0</v>
      </c>
      <c r="W129" s="141">
        <f aca="true" t="shared" si="126" ref="W129:W151">$L129*O$11*O129</f>
        <v>-0.4320665753424646</v>
      </c>
      <c r="X129" s="63">
        <f>($L129+SUM($W129:W129))*(P$11*P129)</f>
        <v>-3.2800057860180063</v>
      </c>
      <c r="Y129" s="63">
        <f>($L129+SUM($W129:X129))*(Q$11*Q129)</f>
        <v>-3.342918894138259</v>
      </c>
      <c r="Z129" s="63">
        <f>($L129+SUM($W129:Y129))*(R$11*R129)</f>
        <v>-3.3703033530244877</v>
      </c>
      <c r="AA129" s="63">
        <f>($L129+SUM($W129:Z129))*(S$11*S129)</f>
        <v>-3.324044484191582</v>
      </c>
      <c r="AB129" s="63">
        <f>($L129+SUM($W129:AA129))*(T$11*T129)</f>
        <v>-3.3879121790868525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24"/>
        <v>-17.137251271801652</v>
      </c>
    </row>
    <row r="130" spans="1:31" ht="12.75">
      <c r="A130" s="3">
        <v>3</v>
      </c>
      <c r="B130" s="15">
        <f t="shared" si="82"/>
        <v>41699</v>
      </c>
      <c r="C130" s="243">
        <f t="shared" si="111"/>
        <v>41733</v>
      </c>
      <c r="D130" s="243">
        <f t="shared" si="111"/>
        <v>41750</v>
      </c>
      <c r="E130" s="70" t="s">
        <v>140</v>
      </c>
      <c r="F130" s="3">
        <v>9</v>
      </c>
      <c r="G130" s="362">
        <v>7</v>
      </c>
      <c r="H130" s="247">
        <f t="shared" si="122"/>
        <v>1586.22</v>
      </c>
      <c r="I130" s="247">
        <f t="shared" si="113"/>
        <v>1541.29</v>
      </c>
      <c r="J130" s="56">
        <f t="shared" si="83"/>
        <v>10789.029999999999</v>
      </c>
      <c r="K130" s="57">
        <f t="shared" si="65"/>
        <v>11103.54</v>
      </c>
      <c r="L130" s="58">
        <f>+J130-K130</f>
        <v>-314.51000000000204</v>
      </c>
      <c r="M130" s="55">
        <f t="shared" si="71"/>
        <v>-12.4005412501655</v>
      </c>
      <c r="N130" s="29">
        <f>SUM(L130:M130)</f>
        <v>-326.9105412501675</v>
      </c>
      <c r="O130" s="16">
        <f t="shared" si="123"/>
        <v>0</v>
      </c>
      <c r="P130" s="16">
        <f t="shared" si="123"/>
        <v>71</v>
      </c>
      <c r="Q130" s="16">
        <f t="shared" si="123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06">
        <f>IF(W$8&lt;V$8,0,IF($D130&lt;V$8,V$12,IF($D130&lt;W$8,W$8-$D130,0)))</f>
        <v>0</v>
      </c>
      <c r="W130" s="141">
        <f>$L130*O$11*O130</f>
        <v>0</v>
      </c>
      <c r="X130" s="63">
        <f>($L130+SUM($W130:W130))*(P$11*P130)</f>
        <v>-1.9883063698630266</v>
      </c>
      <c r="Y130" s="63">
        <f>($L130+SUM($W130:X130))*(Q$11*Q130)</f>
        <v>-2.592684756290127</v>
      </c>
      <c r="Z130" s="63">
        <f>($L130+SUM($W130:Y130))*(R$11*R130)</f>
        <v>-2.6139234615539833</v>
      </c>
      <c r="AA130" s="63">
        <f>($L130+SUM($W130:Z130))*(S$11*S130)</f>
        <v>-2.5780462333398613</v>
      </c>
      <c r="AB130" s="63">
        <f>($L130+SUM($W130:AA130))*(T$11*T130)</f>
        <v>-2.6275804291185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24"/>
        <v>-12.4005412501655</v>
      </c>
    </row>
    <row r="131" spans="1:31" ht="12.75">
      <c r="A131" s="16">
        <v>4</v>
      </c>
      <c r="B131" s="15">
        <f t="shared" si="82"/>
        <v>41730</v>
      </c>
      <c r="C131" s="243">
        <f t="shared" si="111"/>
        <v>41764</v>
      </c>
      <c r="D131" s="243">
        <f t="shared" si="111"/>
        <v>41779</v>
      </c>
      <c r="E131" s="70" t="s">
        <v>140</v>
      </c>
      <c r="F131" s="3">
        <v>9</v>
      </c>
      <c r="G131" s="362">
        <v>6</v>
      </c>
      <c r="H131" s="247">
        <f t="shared" si="122"/>
        <v>1586.22</v>
      </c>
      <c r="I131" s="247">
        <f t="shared" si="113"/>
        <v>1541.29</v>
      </c>
      <c r="J131" s="56">
        <f t="shared" si="83"/>
        <v>9247.74</v>
      </c>
      <c r="K131" s="57">
        <f t="shared" si="65"/>
        <v>9517.32</v>
      </c>
      <c r="L131" s="58">
        <f aca="true" t="shared" si="127" ref="L131:L141">+J131-K131</f>
        <v>-269.5799999999999</v>
      </c>
      <c r="M131" s="55">
        <f t="shared" si="71"/>
        <v>-9.910027398491964</v>
      </c>
      <c r="N131" s="29">
        <f aca="true" t="shared" si="128" ref="N131:N141">SUM(L131:M131)</f>
        <v>-279.4900273984919</v>
      </c>
      <c r="O131" s="16">
        <f t="shared" si="123"/>
        <v>0</v>
      </c>
      <c r="P131" s="16">
        <f t="shared" si="123"/>
        <v>42</v>
      </c>
      <c r="Q131" s="16">
        <f t="shared" si="123"/>
        <v>92</v>
      </c>
      <c r="R131" s="16">
        <f t="shared" si="100"/>
        <v>92</v>
      </c>
      <c r="S131" s="16">
        <f t="shared" si="101"/>
        <v>90</v>
      </c>
      <c r="T131" s="16">
        <f t="shared" si="101"/>
        <v>91</v>
      </c>
      <c r="U131" s="16">
        <f t="shared" si="101"/>
        <v>0</v>
      </c>
      <c r="V131" s="106">
        <f t="shared" si="125"/>
        <v>0</v>
      </c>
      <c r="W131" s="141">
        <f t="shared" si="126"/>
        <v>0</v>
      </c>
      <c r="X131" s="63">
        <f>($L131+SUM($W131:W131))*(P$11*P131)</f>
        <v>-1.0081553424657532</v>
      </c>
      <c r="Y131" s="63">
        <f>($L131+SUM($W131:X131))*(Q$11*Q131)</f>
        <v>-2.2165988615725265</v>
      </c>
      <c r="Z131" s="63">
        <f>($L131+SUM($W131:Y131))*(R$11*R131)</f>
        <v>-2.2347567536166415</v>
      </c>
      <c r="AA131" s="63">
        <f>($L131+SUM($W131:Z131))*(S$11*S131)</f>
        <v>-2.2040837521949053</v>
      </c>
      <c r="AB131" s="63">
        <f>($L131+SUM($W131:AA131))*(T$11*T131)</f>
        <v>-2.2464326886421384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24"/>
        <v>-9.910027398491964</v>
      </c>
    </row>
    <row r="132" spans="1:31" ht="12.75">
      <c r="A132" s="3">
        <v>5</v>
      </c>
      <c r="B132" s="15">
        <f t="shared" si="82"/>
        <v>41760</v>
      </c>
      <c r="C132" s="243">
        <f aca="true" t="shared" si="129" ref="C132:D151">+C120</f>
        <v>41794</v>
      </c>
      <c r="D132" s="243">
        <f t="shared" si="129"/>
        <v>41809</v>
      </c>
      <c r="E132" s="30" t="s">
        <v>140</v>
      </c>
      <c r="F132" s="3">
        <v>9</v>
      </c>
      <c r="G132" s="362">
        <v>10</v>
      </c>
      <c r="H132" s="247">
        <f t="shared" si="122"/>
        <v>1586.22</v>
      </c>
      <c r="I132" s="247">
        <f t="shared" si="113"/>
        <v>1541.29</v>
      </c>
      <c r="J132" s="56">
        <f t="shared" si="83"/>
        <v>15412.9</v>
      </c>
      <c r="K132" s="57">
        <f t="shared" si="65"/>
        <v>15862.2</v>
      </c>
      <c r="L132" s="58">
        <f t="shared" si="127"/>
        <v>-449.3000000000011</v>
      </c>
      <c r="M132" s="55">
        <f t="shared" si="71"/>
        <v>-15.277043436349851</v>
      </c>
      <c r="N132" s="29">
        <f t="shared" si="128"/>
        <v>-464.57704343635095</v>
      </c>
      <c r="O132" s="16">
        <f t="shared" si="123"/>
        <v>0</v>
      </c>
      <c r="P132" s="16">
        <f t="shared" si="123"/>
        <v>12</v>
      </c>
      <c r="Q132" s="16">
        <f t="shared" si="123"/>
        <v>92</v>
      </c>
      <c r="R132" s="16">
        <f t="shared" si="100"/>
        <v>92</v>
      </c>
      <c r="S132" s="16">
        <f t="shared" si="101"/>
        <v>90</v>
      </c>
      <c r="T132" s="16">
        <f t="shared" si="101"/>
        <v>91</v>
      </c>
      <c r="U132" s="16">
        <f t="shared" si="101"/>
        <v>0</v>
      </c>
      <c r="V132" s="106">
        <f t="shared" si="125"/>
        <v>0</v>
      </c>
      <c r="W132" s="141">
        <f t="shared" si="126"/>
        <v>0</v>
      </c>
      <c r="X132" s="63">
        <f>($L132+SUM($W132:W132))*(P$11*P132)</f>
        <v>-0.48007397260274093</v>
      </c>
      <c r="Y132" s="63">
        <f>($L132+SUM($W132:X132))*(Q$11*Q132)</f>
        <v>-3.6844997840495486</v>
      </c>
      <c r="Z132" s="63">
        <f>($L132+SUM($W132:Y132))*(R$11*R132)</f>
        <v>-3.7146823987188866</v>
      </c>
      <c r="AA132" s="63">
        <f>($L132+SUM($W132:Z132))*(S$11*S132)</f>
        <v>-3.663696778779353</v>
      </c>
      <c r="AB132" s="63">
        <f>($L132+SUM($W132:AA132))*(T$11*T132)</f>
        <v>-3.7340905021993245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24"/>
        <v>-15.277043436349851</v>
      </c>
    </row>
    <row r="133" spans="1:31" ht="12.75">
      <c r="A133" s="3">
        <v>6</v>
      </c>
      <c r="B133" s="15">
        <f t="shared" si="82"/>
        <v>41791</v>
      </c>
      <c r="C133" s="243">
        <f t="shared" si="129"/>
        <v>41823</v>
      </c>
      <c r="D133" s="243">
        <f t="shared" si="129"/>
        <v>41838</v>
      </c>
      <c r="E133" s="30" t="s">
        <v>140</v>
      </c>
      <c r="F133" s="3">
        <v>9</v>
      </c>
      <c r="G133" s="362">
        <v>6</v>
      </c>
      <c r="H133" s="247">
        <f t="shared" si="122"/>
        <v>1586.22</v>
      </c>
      <c r="I133" s="247">
        <f t="shared" si="113"/>
        <v>1541.29</v>
      </c>
      <c r="J133" s="56">
        <f t="shared" si="83"/>
        <v>9247.74</v>
      </c>
      <c r="K133" s="57">
        <f t="shared" si="65"/>
        <v>9517.32</v>
      </c>
      <c r="L133" s="77">
        <f t="shared" si="127"/>
        <v>-269.5799999999999</v>
      </c>
      <c r="M133" s="78">
        <f t="shared" si="71"/>
        <v>-8.450642781400099</v>
      </c>
      <c r="N133" s="76">
        <f t="shared" si="128"/>
        <v>-278.03064278140005</v>
      </c>
      <c r="O133" s="16">
        <f t="shared" si="123"/>
        <v>0</v>
      </c>
      <c r="P133" s="16">
        <f t="shared" si="123"/>
        <v>0</v>
      </c>
      <c r="Q133" s="16">
        <f t="shared" si="123"/>
        <v>75</v>
      </c>
      <c r="R133" s="16">
        <f t="shared" si="100"/>
        <v>92</v>
      </c>
      <c r="S133" s="16">
        <f t="shared" si="101"/>
        <v>90</v>
      </c>
      <c r="T133" s="16">
        <f t="shared" si="101"/>
        <v>91</v>
      </c>
      <c r="U133" s="16">
        <f t="shared" si="101"/>
        <v>0</v>
      </c>
      <c r="V133" s="106">
        <f t="shared" si="125"/>
        <v>0</v>
      </c>
      <c r="W133" s="141">
        <f t="shared" si="126"/>
        <v>0</v>
      </c>
      <c r="X133" s="63">
        <f>($L133+SUM($W133:W133))*(P$11*P133)</f>
        <v>0</v>
      </c>
      <c r="Y133" s="63">
        <f>($L133+SUM($W133:X133))*(Q$11*Q133)</f>
        <v>-1.8002773972602735</v>
      </c>
      <c r="Z133" s="63">
        <f>($L133+SUM($W133:Y133))*(R$11*R133)</f>
        <v>-2.223087751829611</v>
      </c>
      <c r="AA133" s="63">
        <f>($L133+SUM($W133:Z133))*(S$11*S133)</f>
        <v>-2.1925749124961307</v>
      </c>
      <c r="AB133" s="63">
        <f>($L133+SUM($W133:AA133))*(T$11*T133)</f>
        <v>-2.2347027198140834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24"/>
        <v>-8.450642781400099</v>
      </c>
    </row>
    <row r="134" spans="1:31" ht="12.75">
      <c r="A134" s="16">
        <v>7</v>
      </c>
      <c r="B134" s="15">
        <f t="shared" si="82"/>
        <v>41821</v>
      </c>
      <c r="C134" s="243">
        <f t="shared" si="129"/>
        <v>41856</v>
      </c>
      <c r="D134" s="243">
        <f t="shared" si="129"/>
        <v>41871</v>
      </c>
      <c r="E134" s="30" t="s">
        <v>140</v>
      </c>
      <c r="F134" s="3">
        <v>9</v>
      </c>
      <c r="G134" s="362">
        <v>11</v>
      </c>
      <c r="H134" s="247">
        <f aca="true" t="shared" si="130" ref="H134:H139">$K$8</f>
        <v>1586.06</v>
      </c>
      <c r="I134" s="247">
        <f t="shared" si="113"/>
        <v>1541.29</v>
      </c>
      <c r="J134" s="56">
        <f t="shared" si="83"/>
        <v>16954.19</v>
      </c>
      <c r="K134" s="74">
        <f aca="true" t="shared" si="131" ref="K134:K197">+$G134*H134</f>
        <v>17446.66</v>
      </c>
      <c r="L134" s="77">
        <f t="shared" si="127"/>
        <v>-492.47000000000116</v>
      </c>
      <c r="M134" s="75">
        <f t="shared" si="71"/>
        <v>-13.955160307424261</v>
      </c>
      <c r="N134" s="76">
        <f t="shared" si="128"/>
        <v>-506.4251603074254</v>
      </c>
      <c r="O134" s="16">
        <f t="shared" si="123"/>
        <v>0</v>
      </c>
      <c r="P134" s="16">
        <f t="shared" si="123"/>
        <v>0</v>
      </c>
      <c r="Q134" s="16">
        <f t="shared" si="123"/>
        <v>42</v>
      </c>
      <c r="R134" s="16">
        <f t="shared" si="100"/>
        <v>92</v>
      </c>
      <c r="S134" s="16">
        <f t="shared" si="101"/>
        <v>90</v>
      </c>
      <c r="T134" s="16">
        <f t="shared" si="101"/>
        <v>91</v>
      </c>
      <c r="U134" s="16">
        <f t="shared" si="101"/>
        <v>0</v>
      </c>
      <c r="V134" s="106">
        <f t="shared" si="125"/>
        <v>0</v>
      </c>
      <c r="W134" s="141">
        <f t="shared" si="126"/>
        <v>0</v>
      </c>
      <c r="X134" s="63">
        <f>($L134+SUM($W134:W134))*(P$11*P134)</f>
        <v>0</v>
      </c>
      <c r="Y134" s="63">
        <f>($L134+SUM($W134:X134))*(Q$11*Q134)</f>
        <v>-1.8417028767123331</v>
      </c>
      <c r="Z134" s="63">
        <f>($L134+SUM($W134:Y134))*(R$11*R134)</f>
        <v>-4.0492931276749955</v>
      </c>
      <c r="AA134" s="63">
        <f>($L134+SUM($W134:Z134))*(S$11*S134)</f>
        <v>-3.9937148309940715</v>
      </c>
      <c r="AB134" s="63">
        <f>($L134+SUM($W134:AA134))*(T$11*T134)</f>
        <v>-4.07044947204286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2" ref="AE134:AE139">SUM(W134:AD134)</f>
        <v>-13.955160307424261</v>
      </c>
    </row>
    <row r="135" spans="1:31" ht="12.75">
      <c r="A135" s="3">
        <v>8</v>
      </c>
      <c r="B135" s="15">
        <f t="shared" si="82"/>
        <v>41852</v>
      </c>
      <c r="C135" s="243">
        <f t="shared" si="129"/>
        <v>41886</v>
      </c>
      <c r="D135" s="243">
        <f t="shared" si="129"/>
        <v>41901</v>
      </c>
      <c r="E135" s="30" t="s">
        <v>140</v>
      </c>
      <c r="F135" s="3">
        <v>9</v>
      </c>
      <c r="G135" s="362">
        <v>14</v>
      </c>
      <c r="H135" s="247">
        <f t="shared" si="130"/>
        <v>1586.06</v>
      </c>
      <c r="I135" s="247">
        <f t="shared" si="113"/>
        <v>1541.29</v>
      </c>
      <c r="J135" s="56">
        <f t="shared" si="83"/>
        <v>21578.059999999998</v>
      </c>
      <c r="K135" s="74">
        <f t="shared" si="131"/>
        <v>22204.84</v>
      </c>
      <c r="L135" s="77">
        <f t="shared" si="127"/>
        <v>-626.7800000000025</v>
      </c>
      <c r="M135" s="75">
        <f t="shared" si="71"/>
        <v>-16.045808476200857</v>
      </c>
      <c r="N135" s="76">
        <f t="shared" si="128"/>
        <v>-642.8258084762033</v>
      </c>
      <c r="O135" s="16">
        <f t="shared" si="123"/>
        <v>0</v>
      </c>
      <c r="P135" s="16">
        <f t="shared" si="123"/>
        <v>0</v>
      </c>
      <c r="Q135" s="16">
        <f t="shared" si="123"/>
        <v>12</v>
      </c>
      <c r="R135" s="16">
        <f t="shared" si="100"/>
        <v>92</v>
      </c>
      <c r="S135" s="16">
        <f t="shared" si="101"/>
        <v>90</v>
      </c>
      <c r="T135" s="16">
        <f t="shared" si="101"/>
        <v>91</v>
      </c>
      <c r="U135" s="16">
        <f t="shared" si="101"/>
        <v>0</v>
      </c>
      <c r="V135" s="106">
        <f t="shared" si="125"/>
        <v>0</v>
      </c>
      <c r="W135" s="141">
        <f t="shared" si="126"/>
        <v>0</v>
      </c>
      <c r="X135" s="63">
        <f>($L135+SUM($W135:W135))*(P$11*P135)</f>
        <v>0</v>
      </c>
      <c r="Y135" s="63">
        <f>($L135+SUM($W135:X135))*(Q$11*Q135)</f>
        <v>-0.669710136986304</v>
      </c>
      <c r="Z135" s="63">
        <f>($L135+SUM($W135:Y135))*(R$11*R135)</f>
        <v>-5.139930502218072</v>
      </c>
      <c r="AA135" s="63">
        <f>($L135+SUM($W135:Z135))*(S$11*S135)</f>
        <v>-5.06938273662926</v>
      </c>
      <c r="AB135" s="63">
        <f>($L135+SUM($W135:AA135))*(T$11*T135)</f>
        <v>-5.16678510036722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2"/>
        <v>-16.045808476200857</v>
      </c>
    </row>
    <row r="136" spans="1:31" ht="12.75">
      <c r="A136" s="3">
        <v>9</v>
      </c>
      <c r="B136" s="15">
        <f t="shared" si="82"/>
        <v>41883</v>
      </c>
      <c r="C136" s="243">
        <f t="shared" si="129"/>
        <v>41915</v>
      </c>
      <c r="D136" s="243">
        <f t="shared" si="129"/>
        <v>41932</v>
      </c>
      <c r="E136" s="30" t="s">
        <v>140</v>
      </c>
      <c r="F136" s="3">
        <v>9</v>
      </c>
      <c r="G136" s="362">
        <v>13</v>
      </c>
      <c r="H136" s="247">
        <f t="shared" si="130"/>
        <v>1586.06</v>
      </c>
      <c r="I136" s="247">
        <f t="shared" si="113"/>
        <v>1541.29</v>
      </c>
      <c r="J136" s="56">
        <f t="shared" si="83"/>
        <v>20036.77</v>
      </c>
      <c r="K136" s="74">
        <f t="shared" si="131"/>
        <v>20618.78</v>
      </c>
      <c r="L136" s="77">
        <f t="shared" si="127"/>
        <v>-582.0099999999984</v>
      </c>
      <c r="M136" s="75">
        <f t="shared" si="71"/>
        <v>-13.262000072394743</v>
      </c>
      <c r="N136" s="76">
        <f t="shared" si="128"/>
        <v>-595.2720000723931</v>
      </c>
      <c r="O136" s="16">
        <f t="shared" si="123"/>
        <v>0</v>
      </c>
      <c r="P136" s="16">
        <f t="shared" si="123"/>
        <v>0</v>
      </c>
      <c r="Q136" s="16">
        <f t="shared" si="123"/>
        <v>0</v>
      </c>
      <c r="R136" s="16">
        <f t="shared" si="100"/>
        <v>73</v>
      </c>
      <c r="S136" s="16">
        <f t="shared" si="101"/>
        <v>90</v>
      </c>
      <c r="T136" s="16">
        <f t="shared" si="101"/>
        <v>91</v>
      </c>
      <c r="U136" s="16">
        <f t="shared" si="101"/>
        <v>0</v>
      </c>
      <c r="V136" s="106">
        <f t="shared" si="125"/>
        <v>0</v>
      </c>
      <c r="W136" s="141">
        <f t="shared" si="12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-3.7830649999999895</v>
      </c>
      <c r="AA136" s="63">
        <f>($L136+SUM($W136:Z136))*(S$11*S136)</f>
        <v>-4.694369082534233</v>
      </c>
      <c r="AB136" s="63">
        <f>($L136+SUM($W136:AA136))*(T$11*T136)</f>
        <v>-4.784565989860521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2"/>
        <v>-13.262000072394743</v>
      </c>
    </row>
    <row r="137" spans="1:31" ht="12.75">
      <c r="A137" s="16">
        <v>10</v>
      </c>
      <c r="B137" s="15">
        <f t="shared" si="82"/>
        <v>41913</v>
      </c>
      <c r="C137" s="243">
        <f t="shared" si="129"/>
        <v>41948</v>
      </c>
      <c r="D137" s="243">
        <f t="shared" si="129"/>
        <v>41963</v>
      </c>
      <c r="E137" s="30" t="s">
        <v>140</v>
      </c>
      <c r="F137" s="3">
        <v>9</v>
      </c>
      <c r="G137" s="362">
        <v>5</v>
      </c>
      <c r="H137" s="247">
        <f t="shared" si="130"/>
        <v>1586.06</v>
      </c>
      <c r="I137" s="247">
        <f t="shared" si="113"/>
        <v>1541.29</v>
      </c>
      <c r="J137" s="56">
        <f t="shared" si="83"/>
        <v>7706.45</v>
      </c>
      <c r="K137" s="74">
        <f t="shared" si="131"/>
        <v>7930.299999999999</v>
      </c>
      <c r="L137" s="77">
        <f t="shared" si="127"/>
        <v>-223.84999999999945</v>
      </c>
      <c r="M137" s="75">
        <f t="shared" si="71"/>
        <v>-4.472883665576182</v>
      </c>
      <c r="N137" s="76">
        <f t="shared" si="128"/>
        <v>-228.32288366557563</v>
      </c>
      <c r="O137" s="16">
        <f t="shared" si="123"/>
        <v>0</v>
      </c>
      <c r="P137" s="16">
        <f t="shared" si="123"/>
        <v>0</v>
      </c>
      <c r="Q137" s="16">
        <f t="shared" si="123"/>
        <v>0</v>
      </c>
      <c r="R137" s="16">
        <f t="shared" si="100"/>
        <v>42</v>
      </c>
      <c r="S137" s="16">
        <f t="shared" si="101"/>
        <v>90</v>
      </c>
      <c r="T137" s="16">
        <f t="shared" si="101"/>
        <v>91</v>
      </c>
      <c r="U137" s="16">
        <f t="shared" si="101"/>
        <v>0</v>
      </c>
      <c r="V137" s="106">
        <f t="shared" si="125"/>
        <v>0</v>
      </c>
      <c r="W137" s="141">
        <f t="shared" si="12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-0.8371376712328746</v>
      </c>
      <c r="AA137" s="63">
        <f>($L137+SUM($W137:Z137))*(S$11*S137)</f>
        <v>-1.8005750073653548</v>
      </c>
      <c r="AB137" s="63">
        <f>($L137+SUM($W137:AA137))*(T$11*T137)</f>
        <v>-1.8351709869779524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2"/>
        <v>-4.472883665576182</v>
      </c>
    </row>
    <row r="138" spans="1:31" ht="12.75">
      <c r="A138" s="3">
        <v>11</v>
      </c>
      <c r="B138" s="15">
        <f t="shared" si="82"/>
        <v>41944</v>
      </c>
      <c r="C138" s="243">
        <f t="shared" si="129"/>
        <v>41976</v>
      </c>
      <c r="D138" s="243">
        <f t="shared" si="129"/>
        <v>41991</v>
      </c>
      <c r="E138" s="30" t="s">
        <v>140</v>
      </c>
      <c r="F138" s="3">
        <v>9</v>
      </c>
      <c r="G138" s="362">
        <v>7</v>
      </c>
      <c r="H138" s="247">
        <f t="shared" si="130"/>
        <v>1586.06</v>
      </c>
      <c r="I138" s="247">
        <f t="shared" si="113"/>
        <v>1541.29</v>
      </c>
      <c r="J138" s="56">
        <f t="shared" si="83"/>
        <v>10789.029999999999</v>
      </c>
      <c r="K138" s="74">
        <f t="shared" si="131"/>
        <v>11102.42</v>
      </c>
      <c r="L138" s="77">
        <f t="shared" si="127"/>
        <v>-313.39000000000124</v>
      </c>
      <c r="M138" s="75">
        <f aca="true" t="shared" si="133" ref="M138:M199">+AE138</f>
        <v>-5.468065672224188</v>
      </c>
      <c r="N138" s="76">
        <f t="shared" si="128"/>
        <v>-318.85806567222545</v>
      </c>
      <c r="O138" s="16">
        <f t="shared" si="123"/>
        <v>0</v>
      </c>
      <c r="P138" s="16">
        <f t="shared" si="123"/>
        <v>0</v>
      </c>
      <c r="Q138" s="16">
        <f t="shared" si="123"/>
        <v>0</v>
      </c>
      <c r="R138" s="16">
        <f aca="true" t="shared" si="134" ref="R138:U139">IF($D138&lt;R$8,R$12,IF($D138&lt;S$8,S$8-$D138,0))</f>
        <v>14</v>
      </c>
      <c r="S138" s="16">
        <f t="shared" si="134"/>
        <v>90</v>
      </c>
      <c r="T138" s="16">
        <f t="shared" si="134"/>
        <v>91</v>
      </c>
      <c r="U138" s="16">
        <f t="shared" si="134"/>
        <v>0</v>
      </c>
      <c r="V138" s="106">
        <f t="shared" si="125"/>
        <v>0</v>
      </c>
      <c r="W138" s="141">
        <f t="shared" si="12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-0.390664246575344</v>
      </c>
      <c r="AA138" s="63">
        <f>($L138+SUM($W138:Z138))*(S$11*S138)</f>
        <v>-2.5145436792362643</v>
      </c>
      <c r="AB138" s="63">
        <f>($L138+SUM($W138:AA138))*(T$11*T138)</f>
        <v>-2.5628577464125795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2"/>
        <v>-5.468065672224188</v>
      </c>
    </row>
    <row r="139" spans="1:31" s="69" customFormat="1" ht="12.75">
      <c r="A139" s="3">
        <v>12</v>
      </c>
      <c r="B139" s="83">
        <f t="shared" si="82"/>
        <v>41974</v>
      </c>
      <c r="C139" s="243">
        <f t="shared" si="129"/>
        <v>42010</v>
      </c>
      <c r="D139" s="243">
        <f t="shared" si="129"/>
        <v>42025</v>
      </c>
      <c r="E139" s="84" t="s">
        <v>140</v>
      </c>
      <c r="F139" s="81">
        <v>9</v>
      </c>
      <c r="G139" s="363">
        <v>8</v>
      </c>
      <c r="H139" s="248">
        <f t="shared" si="130"/>
        <v>1586.06</v>
      </c>
      <c r="I139" s="248">
        <f t="shared" si="113"/>
        <v>1541.29</v>
      </c>
      <c r="J139" s="85">
        <f t="shared" si="83"/>
        <v>12330.32</v>
      </c>
      <c r="K139" s="86">
        <f t="shared" si="131"/>
        <v>12688.48</v>
      </c>
      <c r="L139" s="87">
        <f t="shared" si="127"/>
        <v>-358.15999999999985</v>
      </c>
      <c r="M139" s="88">
        <f t="shared" si="133"/>
        <v>-5.152532673334582</v>
      </c>
      <c r="N139" s="89">
        <f t="shared" si="128"/>
        <v>-363.31253267333443</v>
      </c>
      <c r="O139" s="81">
        <f t="shared" si="123"/>
        <v>0</v>
      </c>
      <c r="P139" s="81">
        <f t="shared" si="123"/>
        <v>0</v>
      </c>
      <c r="Q139" s="81">
        <f t="shared" si="123"/>
        <v>0</v>
      </c>
      <c r="R139" s="81">
        <f t="shared" si="134"/>
        <v>0</v>
      </c>
      <c r="S139" s="81">
        <f t="shared" si="134"/>
        <v>70</v>
      </c>
      <c r="T139" s="81">
        <f t="shared" si="134"/>
        <v>91</v>
      </c>
      <c r="U139" s="81">
        <f t="shared" si="134"/>
        <v>0</v>
      </c>
      <c r="V139" s="107">
        <f t="shared" si="125"/>
        <v>0</v>
      </c>
      <c r="W139" s="142">
        <f t="shared" si="126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-2.2323671232876703</v>
      </c>
      <c r="AB139" s="90">
        <f>($L139+SUM($W139:AA139))*(T$11*T139)</f>
        <v>-2.920165550046912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2"/>
        <v>-5.152532673334582</v>
      </c>
    </row>
    <row r="140" spans="1:31" ht="12.75">
      <c r="A140" s="16">
        <v>1</v>
      </c>
      <c r="B140" s="15">
        <f t="shared" si="82"/>
        <v>41640</v>
      </c>
      <c r="C140" s="242">
        <f t="shared" si="129"/>
        <v>41675</v>
      </c>
      <c r="D140" s="242">
        <f t="shared" si="129"/>
        <v>41690</v>
      </c>
      <c r="E140" s="117" t="s">
        <v>141</v>
      </c>
      <c r="F140" s="3">
        <v>9</v>
      </c>
      <c r="G140" s="362">
        <v>2</v>
      </c>
      <c r="H140" s="247">
        <f aca="true" t="shared" si="135" ref="H140:H145">$K$3</f>
        <v>1586.22</v>
      </c>
      <c r="I140" s="247">
        <f t="shared" si="113"/>
        <v>1541.29</v>
      </c>
      <c r="J140" s="56">
        <f t="shared" si="83"/>
        <v>3082.58</v>
      </c>
      <c r="K140" s="57">
        <f t="shared" si="131"/>
        <v>3172.44</v>
      </c>
      <c r="L140" s="58">
        <f t="shared" si="127"/>
        <v>-89.86000000000013</v>
      </c>
      <c r="M140" s="55">
        <f t="shared" si="133"/>
        <v>-4.041557934055831</v>
      </c>
      <c r="N140" s="29">
        <f t="shared" si="128"/>
        <v>-93.90155793405596</v>
      </c>
      <c r="O140" s="16">
        <f aca="true" t="shared" si="136" ref="O140:O154">IF($D140&lt;O$8,O$12,IF($D140&lt;P$8,P$8-$D140,0))</f>
        <v>40</v>
      </c>
      <c r="P140" s="16">
        <f aca="true" t="shared" si="137" ref="P140:P154">IF($D140&lt;P$8,P$12,IF($D140&lt;Q$8,Q$8-$D140,0))</f>
        <v>91</v>
      </c>
      <c r="Q140" s="16">
        <f aca="true" t="shared" si="138" ref="Q140:Q154">IF($D140&lt;Q$8,Q$12,IF($D140&lt;R$8,R$8-$D140,0))</f>
        <v>92</v>
      </c>
      <c r="R140" s="16">
        <f aca="true" t="shared" si="139" ref="R140:R154">IF($D140&lt;R$8,R$12,IF($D140&lt;S$8,S$8-$D140,0))</f>
        <v>92</v>
      </c>
      <c r="S140" s="16">
        <f aca="true" t="shared" si="140" ref="S140:U141">IF($D140&lt;S$8,S$12,IF($D140&lt;T$8,T$8-$D140,0))</f>
        <v>90</v>
      </c>
      <c r="T140" s="16">
        <f t="shared" si="140"/>
        <v>91</v>
      </c>
      <c r="U140" s="16">
        <f t="shared" si="140"/>
        <v>0</v>
      </c>
      <c r="V140" s="106">
        <f t="shared" si="125"/>
        <v>0</v>
      </c>
      <c r="W140" s="141">
        <f t="shared" si="126"/>
        <v>-0.3200493150684936</v>
      </c>
      <c r="X140" s="63">
        <f>($L140+SUM($W140:W140))*(P$11*P140)</f>
        <v>-0.7307054680803162</v>
      </c>
      <c r="Y140" s="63">
        <f>($L140+SUM($W140:X140))*(Q$11*Q140)</f>
        <v>-0.744720977538672</v>
      </c>
      <c r="Z140" s="63">
        <f>($L140+SUM($W140:Y140))*(R$11*R140)</f>
        <v>-0.7508215685601533</v>
      </c>
      <c r="AA140" s="63">
        <f>($L140+SUM($W140:Z140))*(S$11*S140)</f>
        <v>-0.7405162183234238</v>
      </c>
      <c r="AB140" s="63">
        <f>($L140+SUM($W140:AA140))*(T$11*T140)</f>
        <v>-0.754744386484772</v>
      </c>
      <c r="AC140" s="63">
        <f>($L140+SUM($W140:AB140))*(U$11*U140)</f>
        <v>0</v>
      </c>
      <c r="AD140" s="63">
        <f>($L140+SUM($W140:AC140))*(V$11*V140)</f>
        <v>0</v>
      </c>
      <c r="AE140" s="110">
        <f>SUM(W140:AD140)</f>
        <v>-4.041557934055831</v>
      </c>
    </row>
    <row r="141" spans="1:31" ht="12.75">
      <c r="A141" s="3">
        <v>2</v>
      </c>
      <c r="B141" s="15">
        <f t="shared" si="82"/>
        <v>41671</v>
      </c>
      <c r="C141" s="243">
        <f t="shared" si="129"/>
        <v>41703</v>
      </c>
      <c r="D141" s="243">
        <f t="shared" si="129"/>
        <v>41718</v>
      </c>
      <c r="E141" s="30" t="s">
        <v>141</v>
      </c>
      <c r="F141" s="3">
        <v>9</v>
      </c>
      <c r="G141" s="362">
        <v>2</v>
      </c>
      <c r="H141" s="247">
        <f t="shared" si="135"/>
        <v>1586.22</v>
      </c>
      <c r="I141" s="247">
        <f t="shared" si="113"/>
        <v>1541.29</v>
      </c>
      <c r="J141" s="56">
        <f t="shared" si="83"/>
        <v>3082.58</v>
      </c>
      <c r="K141" s="57">
        <f t="shared" si="131"/>
        <v>3172.44</v>
      </c>
      <c r="L141" s="58">
        <f t="shared" si="127"/>
        <v>-89.86000000000013</v>
      </c>
      <c r="M141" s="55">
        <f t="shared" si="133"/>
        <v>-3.8082780604003825</v>
      </c>
      <c r="N141" s="29">
        <f t="shared" si="128"/>
        <v>-93.66827806040051</v>
      </c>
      <c r="O141" s="16">
        <f t="shared" si="136"/>
        <v>12</v>
      </c>
      <c r="P141" s="16">
        <f t="shared" si="137"/>
        <v>91</v>
      </c>
      <c r="Q141" s="16">
        <f t="shared" si="138"/>
        <v>92</v>
      </c>
      <c r="R141" s="16">
        <f t="shared" si="139"/>
        <v>92</v>
      </c>
      <c r="S141" s="16">
        <f t="shared" si="140"/>
        <v>90</v>
      </c>
      <c r="T141" s="16">
        <f t="shared" si="140"/>
        <v>91</v>
      </c>
      <c r="U141" s="16">
        <f t="shared" si="140"/>
        <v>0</v>
      </c>
      <c r="V141" s="106">
        <f t="shared" si="125"/>
        <v>0</v>
      </c>
      <c r="W141" s="141">
        <f t="shared" si="126"/>
        <v>-0.09601479452054809</v>
      </c>
      <c r="X141" s="63">
        <f>($L141+SUM($W141:W141))*(P$11*P141)</f>
        <v>-0.728890174670671</v>
      </c>
      <c r="Y141" s="63">
        <f>($L141+SUM($W141:X141))*(Q$11*Q141)</f>
        <v>-0.7428708653640606</v>
      </c>
      <c r="Z141" s="63">
        <f>($L141+SUM($W141:Y141))*(R$11*R141)</f>
        <v>-0.7489563006721113</v>
      </c>
      <c r="AA141" s="63">
        <f>($L141+SUM($W141:Z141))*(S$11*S141)</f>
        <v>-0.7386765520425767</v>
      </c>
      <c r="AB141" s="63">
        <f>($L141+SUM($W141:AA141))*(T$11*T141)</f>
        <v>-0.7528693731304146</v>
      </c>
      <c r="AC141" s="63">
        <f>($L141+SUM($W141:AB141))*(U$11*U141)</f>
        <v>0</v>
      </c>
      <c r="AD141" s="63">
        <f>($L141+SUM($W141:AC141))*(V$11*V141)</f>
        <v>0</v>
      </c>
      <c r="AE141" s="110">
        <f>SUM(W141:AD141)</f>
        <v>-3.8082780604003825</v>
      </c>
    </row>
    <row r="142" spans="1:31" ht="12.75">
      <c r="A142" s="3">
        <v>3</v>
      </c>
      <c r="B142" s="15">
        <f t="shared" si="82"/>
        <v>41699</v>
      </c>
      <c r="C142" s="243">
        <f t="shared" si="129"/>
        <v>41733</v>
      </c>
      <c r="D142" s="243">
        <f t="shared" si="129"/>
        <v>41750</v>
      </c>
      <c r="E142" s="30" t="s">
        <v>141</v>
      </c>
      <c r="F142" s="3">
        <v>9</v>
      </c>
      <c r="G142" s="362">
        <v>2</v>
      </c>
      <c r="H142" s="247">
        <f t="shared" si="135"/>
        <v>1586.22</v>
      </c>
      <c r="I142" s="247">
        <f t="shared" si="113"/>
        <v>1541.29</v>
      </c>
      <c r="J142" s="56">
        <f t="shared" si="83"/>
        <v>3082.58</v>
      </c>
      <c r="K142" s="57">
        <f t="shared" si="131"/>
        <v>3172.44</v>
      </c>
      <c r="L142" s="58">
        <f>+J142-K142</f>
        <v>-89.86000000000013</v>
      </c>
      <c r="M142" s="55">
        <f t="shared" si="133"/>
        <v>-3.543011785761553</v>
      </c>
      <c r="N142" s="29">
        <f>SUM(L142:M142)</f>
        <v>-93.40301178576168</v>
      </c>
      <c r="O142" s="16">
        <f aca="true" t="shared" si="141" ref="O142:O149">IF($D142&lt;O$8,O$12,IF($D142&lt;P$8,P$8-$D142,0))</f>
        <v>0</v>
      </c>
      <c r="P142" s="16">
        <f aca="true" t="shared" si="142" ref="P142:P149">IF($D142&lt;P$8,P$12,IF($D142&lt;Q$8,Q$8-$D142,0))</f>
        <v>71</v>
      </c>
      <c r="Q142" s="16">
        <f aca="true" t="shared" si="143" ref="Q142:Q149">IF($D142&lt;Q$8,Q$12,IF($D142&lt;R$8,R$8-$D142,0))</f>
        <v>92</v>
      </c>
      <c r="R142" s="16">
        <f aca="true" t="shared" si="144" ref="R142:R149">IF($D142&lt;R$8,R$12,IF($D142&lt;S$8,S$8-$D142,0))</f>
        <v>92</v>
      </c>
      <c r="S142" s="16">
        <f aca="true" t="shared" si="145" ref="S142:U149">IF($D142&lt;S$8,S$12,IF($D142&lt;T$8,T$8-$D142,0))</f>
        <v>90</v>
      </c>
      <c r="T142" s="16">
        <f t="shared" si="145"/>
        <v>91</v>
      </c>
      <c r="U142" s="16">
        <f t="shared" si="145"/>
        <v>0</v>
      </c>
      <c r="V142" s="106">
        <f aca="true" t="shared" si="146" ref="V142:V149">IF(W$8&lt;V$8,0,IF($D142&lt;V$8,V$12,IF($D142&lt;W$8,W$8-$D142,0)))</f>
        <v>0</v>
      </c>
      <c r="W142" s="141">
        <f aca="true" t="shared" si="147" ref="W142:W149">$L142*O$11*O142</f>
        <v>0</v>
      </c>
      <c r="X142" s="63">
        <f>($L142+SUM($W142:W142))*(P$11*P142)</f>
        <v>-0.5680875342465761</v>
      </c>
      <c r="Y142" s="63">
        <f>($L142+SUM($W142:X142))*(Q$11*Q142)</f>
        <v>-0.7407670732257469</v>
      </c>
      <c r="Z142" s="63">
        <f>($L142+SUM($W142:Y142))*(R$11*R142)</f>
        <v>-0.7468352747297058</v>
      </c>
      <c r="AA142" s="63">
        <f>($L142+SUM($W142:Z142))*(S$11*S142)</f>
        <v>-0.7365846380970994</v>
      </c>
      <c r="AB142" s="63">
        <f>($L142+SUM($W142:AA142))*(T$11*T142)</f>
        <v>-0.7507372654624248</v>
      </c>
      <c r="AC142" s="63">
        <f>($L142+SUM($W142:AB142))*(U$11*U142)</f>
        <v>0</v>
      </c>
      <c r="AD142" s="63">
        <f>($L142+SUM($W142:AC142))*(V$11*V142)</f>
        <v>0</v>
      </c>
      <c r="AE142" s="110">
        <f aca="true" t="shared" si="148" ref="AE142:AE149">SUM(W142:AD142)</f>
        <v>-3.543011785761553</v>
      </c>
    </row>
    <row r="143" spans="1:31" ht="12.75">
      <c r="A143" s="16">
        <v>4</v>
      </c>
      <c r="B143" s="15">
        <f t="shared" si="82"/>
        <v>41730</v>
      </c>
      <c r="C143" s="243">
        <f t="shared" si="129"/>
        <v>41764</v>
      </c>
      <c r="D143" s="243">
        <f t="shared" si="129"/>
        <v>41779</v>
      </c>
      <c r="E143" s="30" t="s">
        <v>141</v>
      </c>
      <c r="F143" s="3">
        <v>9</v>
      </c>
      <c r="G143" s="362">
        <v>1</v>
      </c>
      <c r="H143" s="247">
        <f t="shared" si="135"/>
        <v>1586.22</v>
      </c>
      <c r="I143" s="247">
        <f t="shared" si="113"/>
        <v>1541.29</v>
      </c>
      <c r="J143" s="56">
        <f t="shared" si="83"/>
        <v>1541.29</v>
      </c>
      <c r="K143" s="57">
        <f t="shared" si="131"/>
        <v>1586.22</v>
      </c>
      <c r="L143" s="58">
        <f aca="true" t="shared" si="149" ref="L143:L153">+J143-K143</f>
        <v>-44.930000000000064</v>
      </c>
      <c r="M143" s="55">
        <f t="shared" si="133"/>
        <v>-1.6516712330819971</v>
      </c>
      <c r="N143" s="29">
        <f aca="true" t="shared" si="150" ref="N143:N153">SUM(L143:M143)</f>
        <v>-46.58167123308206</v>
      </c>
      <c r="O143" s="16">
        <f t="shared" si="141"/>
        <v>0</v>
      </c>
      <c r="P143" s="16">
        <f t="shared" si="142"/>
        <v>42</v>
      </c>
      <c r="Q143" s="16">
        <f t="shared" si="143"/>
        <v>92</v>
      </c>
      <c r="R143" s="16">
        <f t="shared" si="144"/>
        <v>92</v>
      </c>
      <c r="S143" s="16">
        <f t="shared" si="145"/>
        <v>90</v>
      </c>
      <c r="T143" s="16">
        <f t="shared" si="145"/>
        <v>91</v>
      </c>
      <c r="U143" s="16">
        <f t="shared" si="145"/>
        <v>0</v>
      </c>
      <c r="V143" s="106">
        <f t="shared" si="146"/>
        <v>0</v>
      </c>
      <c r="W143" s="141">
        <f t="shared" si="147"/>
        <v>0</v>
      </c>
      <c r="X143" s="63">
        <f>($L143+SUM($W143:W143))*(P$11*P143)</f>
        <v>-0.16802589041095914</v>
      </c>
      <c r="Y143" s="63">
        <f>($L143+SUM($W143:X143))*(Q$11*Q143)</f>
        <v>-0.3694331435954218</v>
      </c>
      <c r="Z143" s="63">
        <f>($L143+SUM($W143:Y143))*(R$11*R143)</f>
        <v>-0.37245945893610755</v>
      </c>
      <c r="AA143" s="63">
        <f>($L143+SUM($W143:Z143))*(S$11*S143)</f>
        <v>-0.3673472920324848</v>
      </c>
      <c r="AB143" s="63">
        <f>($L143+SUM($W143:AA143))*(T$11*T143)</f>
        <v>-0.37440544810702375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8"/>
        <v>-1.6516712330819971</v>
      </c>
    </row>
    <row r="144" spans="1:31" ht="12.75">
      <c r="A144" s="3">
        <v>5</v>
      </c>
      <c r="B144" s="15">
        <f t="shared" si="82"/>
        <v>41760</v>
      </c>
      <c r="C144" s="243">
        <f t="shared" si="129"/>
        <v>41794</v>
      </c>
      <c r="D144" s="243">
        <f t="shared" si="129"/>
        <v>41809</v>
      </c>
      <c r="E144" s="30" t="s">
        <v>141</v>
      </c>
      <c r="F144" s="3">
        <v>9</v>
      </c>
      <c r="G144" s="362">
        <v>3</v>
      </c>
      <c r="H144" s="247">
        <f t="shared" si="135"/>
        <v>1586.22</v>
      </c>
      <c r="I144" s="247">
        <f t="shared" si="113"/>
        <v>1541.29</v>
      </c>
      <c r="J144" s="56">
        <f t="shared" si="83"/>
        <v>4623.87</v>
      </c>
      <c r="K144" s="57">
        <f t="shared" si="131"/>
        <v>4758.66</v>
      </c>
      <c r="L144" s="58">
        <f t="shared" si="149"/>
        <v>-134.78999999999996</v>
      </c>
      <c r="M144" s="55">
        <f t="shared" si="133"/>
        <v>-4.5831130309049435</v>
      </c>
      <c r="N144" s="29">
        <f t="shared" si="150"/>
        <v>-139.3731130309049</v>
      </c>
      <c r="O144" s="16">
        <f t="shared" si="141"/>
        <v>0</v>
      </c>
      <c r="P144" s="16">
        <f t="shared" si="142"/>
        <v>12</v>
      </c>
      <c r="Q144" s="16">
        <f t="shared" si="143"/>
        <v>92</v>
      </c>
      <c r="R144" s="16">
        <f t="shared" si="144"/>
        <v>92</v>
      </c>
      <c r="S144" s="16">
        <f t="shared" si="145"/>
        <v>90</v>
      </c>
      <c r="T144" s="16">
        <f t="shared" si="145"/>
        <v>91</v>
      </c>
      <c r="U144" s="16">
        <f t="shared" si="145"/>
        <v>0</v>
      </c>
      <c r="V144" s="106">
        <f t="shared" si="146"/>
        <v>0</v>
      </c>
      <c r="W144" s="141">
        <f t="shared" si="147"/>
        <v>0</v>
      </c>
      <c r="X144" s="63">
        <f>($L144+SUM($W144:W144))*(P$11*P144)</f>
        <v>-0.14402219178082187</v>
      </c>
      <c r="Y144" s="63">
        <f>($L144+SUM($W144:X144))*(Q$11*Q144)</f>
        <v>-1.1053499352148617</v>
      </c>
      <c r="Z144" s="63">
        <f>($L144+SUM($W144:Y144))*(R$11*R144)</f>
        <v>-1.114404719615663</v>
      </c>
      <c r="AA144" s="63">
        <f>($L144+SUM($W144:Z144))*(S$11*S144)</f>
        <v>-1.099109033633803</v>
      </c>
      <c r="AB144" s="63">
        <f>($L144+SUM($W144:AA144))*(T$11*T144)</f>
        <v>-1.1202271506597943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8"/>
        <v>-4.5831130309049435</v>
      </c>
    </row>
    <row r="145" spans="1:31" ht="12.75">
      <c r="A145" s="3">
        <v>6</v>
      </c>
      <c r="B145" s="15">
        <f t="shared" si="82"/>
        <v>41791</v>
      </c>
      <c r="C145" s="243">
        <f t="shared" si="129"/>
        <v>41823</v>
      </c>
      <c r="D145" s="243">
        <f t="shared" si="129"/>
        <v>41838</v>
      </c>
      <c r="E145" s="30" t="s">
        <v>141</v>
      </c>
      <c r="F145" s="3">
        <v>9</v>
      </c>
      <c r="G145" s="362">
        <v>2</v>
      </c>
      <c r="H145" s="247">
        <f t="shared" si="135"/>
        <v>1586.22</v>
      </c>
      <c r="I145" s="247">
        <f t="shared" si="113"/>
        <v>1541.29</v>
      </c>
      <c r="J145" s="56">
        <f t="shared" si="83"/>
        <v>3082.58</v>
      </c>
      <c r="K145" s="57">
        <f t="shared" si="131"/>
        <v>3172.44</v>
      </c>
      <c r="L145" s="77">
        <f t="shared" si="149"/>
        <v>-89.86000000000013</v>
      </c>
      <c r="M145" s="78">
        <f t="shared" si="133"/>
        <v>-2.8168809271333703</v>
      </c>
      <c r="N145" s="76">
        <f t="shared" si="150"/>
        <v>-92.6768809271335</v>
      </c>
      <c r="O145" s="16">
        <f t="shared" si="141"/>
        <v>0</v>
      </c>
      <c r="P145" s="16">
        <f t="shared" si="142"/>
        <v>0</v>
      </c>
      <c r="Q145" s="16">
        <f t="shared" si="143"/>
        <v>75</v>
      </c>
      <c r="R145" s="16">
        <f t="shared" si="144"/>
        <v>92</v>
      </c>
      <c r="S145" s="16">
        <f t="shared" si="145"/>
        <v>90</v>
      </c>
      <c r="T145" s="16">
        <f t="shared" si="145"/>
        <v>91</v>
      </c>
      <c r="U145" s="16">
        <f t="shared" si="145"/>
        <v>0</v>
      </c>
      <c r="V145" s="106">
        <f t="shared" si="146"/>
        <v>0</v>
      </c>
      <c r="W145" s="141">
        <f t="shared" si="147"/>
        <v>0</v>
      </c>
      <c r="X145" s="63">
        <f>($L145+SUM($W145:W145))*(P$11*P145)</f>
        <v>0</v>
      </c>
      <c r="Y145" s="63">
        <f>($L145+SUM($W145:X145))*(Q$11*Q145)</f>
        <v>-0.6000924657534256</v>
      </c>
      <c r="Z145" s="63">
        <f>($L145+SUM($W145:Y145))*(R$11*R145)</f>
        <v>-0.7410292506098715</v>
      </c>
      <c r="AA145" s="63">
        <f>($L145+SUM($W145:Z145))*(S$11*S145)</f>
        <v>-0.730858304165378</v>
      </c>
      <c r="AB145" s="63">
        <f>($L145+SUM($W145:AA145))*(T$11*T145)</f>
        <v>-0.7449009066046957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8"/>
        <v>-2.8168809271333703</v>
      </c>
    </row>
    <row r="146" spans="1:31" ht="12.75">
      <c r="A146" s="16">
        <v>7</v>
      </c>
      <c r="B146" s="15">
        <f t="shared" si="82"/>
        <v>41821</v>
      </c>
      <c r="C146" s="243">
        <f t="shared" si="129"/>
        <v>41856</v>
      </c>
      <c r="D146" s="243">
        <f t="shared" si="129"/>
        <v>41871</v>
      </c>
      <c r="E146" s="30" t="s">
        <v>141</v>
      </c>
      <c r="F146" s="3">
        <v>9</v>
      </c>
      <c r="G146" s="362">
        <v>2</v>
      </c>
      <c r="H146" s="247">
        <f aca="true" t="shared" si="151" ref="H146:H151">$K$8</f>
        <v>1586.06</v>
      </c>
      <c r="I146" s="247">
        <f t="shared" si="113"/>
        <v>1541.29</v>
      </c>
      <c r="J146" s="56">
        <f t="shared" si="83"/>
        <v>3082.58</v>
      </c>
      <c r="K146" s="74">
        <f t="shared" si="131"/>
        <v>3172.12</v>
      </c>
      <c r="L146" s="77">
        <f t="shared" si="149"/>
        <v>-89.53999999999996</v>
      </c>
      <c r="M146" s="75">
        <f t="shared" si="133"/>
        <v>-2.5373018740771314</v>
      </c>
      <c r="N146" s="76">
        <f t="shared" si="150"/>
        <v>-92.0773018740771</v>
      </c>
      <c r="O146" s="16">
        <f t="shared" si="141"/>
        <v>0</v>
      </c>
      <c r="P146" s="16">
        <f t="shared" si="142"/>
        <v>0</v>
      </c>
      <c r="Q146" s="16">
        <f t="shared" si="143"/>
        <v>42</v>
      </c>
      <c r="R146" s="16">
        <f t="shared" si="144"/>
        <v>92</v>
      </c>
      <c r="S146" s="16">
        <f t="shared" si="145"/>
        <v>90</v>
      </c>
      <c r="T146" s="16">
        <f t="shared" si="145"/>
        <v>91</v>
      </c>
      <c r="U146" s="16">
        <f t="shared" si="145"/>
        <v>0</v>
      </c>
      <c r="V146" s="106">
        <f t="shared" si="146"/>
        <v>0</v>
      </c>
      <c r="W146" s="141">
        <f t="shared" si="147"/>
        <v>0</v>
      </c>
      <c r="X146" s="63">
        <f>($L146+SUM($W146:W146))*(P$11*P146)</f>
        <v>0</v>
      </c>
      <c r="Y146" s="63">
        <f>($L146+SUM($W146:X146))*(Q$11*Q146)</f>
        <v>-0.33485506849315055</v>
      </c>
      <c r="Z146" s="63">
        <f>($L146+SUM($W146:Y146))*(R$11*R146)</f>
        <v>-0.7362351141227244</v>
      </c>
      <c r="AA146" s="63">
        <f>($L146+SUM($W146:Z146))*(S$11*S146)</f>
        <v>-0.7261299692716474</v>
      </c>
      <c r="AB146" s="63">
        <f>($L146+SUM($W146:AA146))*(T$11*T146)</f>
        <v>-0.740081722189609</v>
      </c>
      <c r="AC146" s="63">
        <f>($L146+SUM($W146:AB146))*(U$11*U146)</f>
        <v>0</v>
      </c>
      <c r="AD146" s="63">
        <f>($L146+SUM($W146:AC146))*(V$11*V146)</f>
        <v>0</v>
      </c>
      <c r="AE146" s="110">
        <f t="shared" si="148"/>
        <v>-2.5373018740771314</v>
      </c>
    </row>
    <row r="147" spans="1:31" ht="12.75">
      <c r="A147" s="3">
        <v>8</v>
      </c>
      <c r="B147" s="15">
        <f t="shared" si="82"/>
        <v>41852</v>
      </c>
      <c r="C147" s="243">
        <f t="shared" si="129"/>
        <v>41886</v>
      </c>
      <c r="D147" s="243">
        <f t="shared" si="129"/>
        <v>41901</v>
      </c>
      <c r="E147" s="30" t="s">
        <v>141</v>
      </c>
      <c r="F147" s="3">
        <v>9</v>
      </c>
      <c r="G147" s="362">
        <v>2</v>
      </c>
      <c r="H147" s="247">
        <f t="shared" si="151"/>
        <v>1586.06</v>
      </c>
      <c r="I147" s="247">
        <f t="shared" si="113"/>
        <v>1541.29</v>
      </c>
      <c r="J147" s="56">
        <f t="shared" si="83"/>
        <v>3082.58</v>
      </c>
      <c r="K147" s="74">
        <f t="shared" si="131"/>
        <v>3172.12</v>
      </c>
      <c r="L147" s="77">
        <f t="shared" si="149"/>
        <v>-89.53999999999996</v>
      </c>
      <c r="M147" s="75">
        <f t="shared" si="133"/>
        <v>-2.2922583537429695</v>
      </c>
      <c r="N147" s="76">
        <f t="shared" si="150"/>
        <v>-91.83225835374293</v>
      </c>
      <c r="O147" s="16">
        <f t="shared" si="141"/>
        <v>0</v>
      </c>
      <c r="P147" s="16">
        <f t="shared" si="142"/>
        <v>0</v>
      </c>
      <c r="Q147" s="16">
        <f t="shared" si="143"/>
        <v>12</v>
      </c>
      <c r="R147" s="16">
        <f t="shared" si="144"/>
        <v>92</v>
      </c>
      <c r="S147" s="16">
        <f t="shared" si="145"/>
        <v>90</v>
      </c>
      <c r="T147" s="16">
        <f t="shared" si="145"/>
        <v>91</v>
      </c>
      <c r="U147" s="16">
        <f t="shared" si="145"/>
        <v>0</v>
      </c>
      <c r="V147" s="106">
        <f t="shared" si="146"/>
        <v>0</v>
      </c>
      <c r="W147" s="141">
        <f t="shared" si="147"/>
        <v>0</v>
      </c>
      <c r="X147" s="63">
        <f>($L147+SUM($W147:W147))*(P$11*P147)</f>
        <v>0</v>
      </c>
      <c r="Y147" s="63">
        <f>($L147+SUM($W147:X147))*(Q$11*Q147)</f>
        <v>-0.09567287671232873</v>
      </c>
      <c r="Z147" s="63">
        <f>($L147+SUM($W147:Y147))*(R$11*R147)</f>
        <v>-0.73427578603115</v>
      </c>
      <c r="AA147" s="63">
        <f>($L147+SUM($W147:Z147))*(S$11*S147)</f>
        <v>-0.7241975338041768</v>
      </c>
      <c r="AB147" s="63">
        <f>($L147+SUM($W147:AA147))*(T$11*T147)</f>
        <v>-0.7381121571953139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48"/>
        <v>-2.2922583537429695</v>
      </c>
    </row>
    <row r="148" spans="1:31" ht="12.75">
      <c r="A148" s="3">
        <v>9</v>
      </c>
      <c r="B148" s="15">
        <f t="shared" si="82"/>
        <v>41883</v>
      </c>
      <c r="C148" s="243">
        <f t="shared" si="129"/>
        <v>41915</v>
      </c>
      <c r="D148" s="243">
        <f t="shared" si="129"/>
        <v>41932</v>
      </c>
      <c r="E148" s="30" t="s">
        <v>141</v>
      </c>
      <c r="F148" s="3">
        <v>9</v>
      </c>
      <c r="G148" s="362">
        <v>2</v>
      </c>
      <c r="H148" s="247">
        <f t="shared" si="151"/>
        <v>1586.06</v>
      </c>
      <c r="I148" s="247">
        <f aca="true" t="shared" si="152" ref="I148:I179">$J$3</f>
        <v>1541.29</v>
      </c>
      <c r="J148" s="56">
        <f t="shared" si="83"/>
        <v>3082.58</v>
      </c>
      <c r="K148" s="74">
        <f t="shared" si="131"/>
        <v>3172.12</v>
      </c>
      <c r="L148" s="77">
        <f t="shared" si="149"/>
        <v>-89.53999999999996</v>
      </c>
      <c r="M148" s="75">
        <f t="shared" si="133"/>
        <v>-2.04030770344535</v>
      </c>
      <c r="N148" s="76">
        <f t="shared" si="150"/>
        <v>-91.58030770344531</v>
      </c>
      <c r="O148" s="16">
        <f t="shared" si="141"/>
        <v>0</v>
      </c>
      <c r="P148" s="16">
        <f t="shared" si="142"/>
        <v>0</v>
      </c>
      <c r="Q148" s="16">
        <f t="shared" si="143"/>
        <v>0</v>
      </c>
      <c r="R148" s="16">
        <f t="shared" si="144"/>
        <v>73</v>
      </c>
      <c r="S148" s="16">
        <f t="shared" si="145"/>
        <v>90</v>
      </c>
      <c r="T148" s="16">
        <f t="shared" si="145"/>
        <v>91</v>
      </c>
      <c r="U148" s="16">
        <f t="shared" si="145"/>
        <v>0</v>
      </c>
      <c r="V148" s="106">
        <f t="shared" si="146"/>
        <v>0</v>
      </c>
      <c r="W148" s="141">
        <f t="shared" si="147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-0.5820099999999997</v>
      </c>
      <c r="AA148" s="63">
        <f>($L148+SUM($W148:Z148))*(S$11*S148)</f>
        <v>-0.7222106280821914</v>
      </c>
      <c r="AB148" s="63">
        <f>($L148+SUM($W148:AA148))*(T$11*T148)</f>
        <v>-0.7360870753631589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48"/>
        <v>-2.04030770344535</v>
      </c>
    </row>
    <row r="149" spans="1:31" ht="12.75">
      <c r="A149" s="16">
        <v>10</v>
      </c>
      <c r="B149" s="15">
        <f aca="true" t="shared" si="153" ref="B149:B211">DATE($N$1,A149,1)</f>
        <v>41913</v>
      </c>
      <c r="C149" s="243">
        <f t="shared" si="129"/>
        <v>41948</v>
      </c>
      <c r="D149" s="243">
        <f t="shared" si="129"/>
        <v>41963</v>
      </c>
      <c r="E149" s="30" t="s">
        <v>141</v>
      </c>
      <c r="F149" s="3">
        <v>9</v>
      </c>
      <c r="G149" s="362">
        <v>1</v>
      </c>
      <c r="H149" s="247">
        <f t="shared" si="151"/>
        <v>1586.06</v>
      </c>
      <c r="I149" s="247">
        <f t="shared" si="152"/>
        <v>1541.29</v>
      </c>
      <c r="J149" s="56">
        <f aca="true" t="shared" si="154" ref="J149:J211">+$G149*I149</f>
        <v>1541.29</v>
      </c>
      <c r="K149" s="74">
        <f t="shared" si="131"/>
        <v>1586.06</v>
      </c>
      <c r="L149" s="77">
        <f t="shared" si="149"/>
        <v>-44.76999999999998</v>
      </c>
      <c r="M149" s="75">
        <f t="shared" si="133"/>
        <v>-0.8945767331152383</v>
      </c>
      <c r="N149" s="76">
        <f t="shared" si="150"/>
        <v>-45.66457673311522</v>
      </c>
      <c r="O149" s="16">
        <f t="shared" si="141"/>
        <v>0</v>
      </c>
      <c r="P149" s="16">
        <f t="shared" si="142"/>
        <v>0</v>
      </c>
      <c r="Q149" s="16">
        <f t="shared" si="143"/>
        <v>0</v>
      </c>
      <c r="R149" s="16">
        <f t="shared" si="144"/>
        <v>42</v>
      </c>
      <c r="S149" s="16">
        <f t="shared" si="145"/>
        <v>90</v>
      </c>
      <c r="T149" s="16">
        <f t="shared" si="145"/>
        <v>91</v>
      </c>
      <c r="U149" s="16">
        <f t="shared" si="145"/>
        <v>0</v>
      </c>
      <c r="V149" s="106">
        <f t="shared" si="146"/>
        <v>0</v>
      </c>
      <c r="W149" s="141">
        <f t="shared" si="147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-0.16742753424657528</v>
      </c>
      <c r="AA149" s="63">
        <f>($L149+SUM($W149:Z149))*(S$11*S149)</f>
        <v>-0.36011500147307174</v>
      </c>
      <c r="AB149" s="63">
        <f>($L149+SUM($W149:AA149))*(T$11*T149)</f>
        <v>-0.36703419739559123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48"/>
        <v>-0.8945767331152383</v>
      </c>
    </row>
    <row r="150" spans="1:31" ht="12.75">
      <c r="A150" s="3">
        <v>11</v>
      </c>
      <c r="B150" s="15">
        <f t="shared" si="153"/>
        <v>41944</v>
      </c>
      <c r="C150" s="243">
        <f t="shared" si="129"/>
        <v>41976</v>
      </c>
      <c r="D150" s="243">
        <f t="shared" si="129"/>
        <v>41991</v>
      </c>
      <c r="E150" s="30" t="s">
        <v>141</v>
      </c>
      <c r="F150" s="3">
        <v>9</v>
      </c>
      <c r="G150" s="362">
        <v>1</v>
      </c>
      <c r="H150" s="247">
        <f t="shared" si="151"/>
        <v>1586.06</v>
      </c>
      <c r="I150" s="247">
        <f t="shared" si="152"/>
        <v>1541.29</v>
      </c>
      <c r="J150" s="56">
        <f t="shared" si="154"/>
        <v>1541.29</v>
      </c>
      <c r="K150" s="74">
        <f t="shared" si="131"/>
        <v>1586.06</v>
      </c>
      <c r="L150" s="77">
        <f t="shared" si="149"/>
        <v>-44.76999999999998</v>
      </c>
      <c r="M150" s="75">
        <f t="shared" si="133"/>
        <v>-0.7811522388891663</v>
      </c>
      <c r="N150" s="76">
        <f t="shared" si="150"/>
        <v>-45.551152238889145</v>
      </c>
      <c r="O150" s="16">
        <f t="shared" si="136"/>
        <v>0</v>
      </c>
      <c r="P150" s="16">
        <f t="shared" si="137"/>
        <v>0</v>
      </c>
      <c r="Q150" s="16">
        <f t="shared" si="138"/>
        <v>0</v>
      </c>
      <c r="R150" s="16">
        <f t="shared" si="139"/>
        <v>14</v>
      </c>
      <c r="S150" s="16">
        <f aca="true" t="shared" si="155" ref="S150:U154">IF($D150&lt;S$8,S$12,IF($D150&lt;T$8,T$8-$D150,0))</f>
        <v>90</v>
      </c>
      <c r="T150" s="16">
        <f t="shared" si="155"/>
        <v>91</v>
      </c>
      <c r="U150" s="16">
        <f t="shared" si="155"/>
        <v>0</v>
      </c>
      <c r="V150" s="106">
        <f t="shared" si="125"/>
        <v>0</v>
      </c>
      <c r="W150" s="141">
        <f t="shared" si="12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-0.05580917808219176</v>
      </c>
      <c r="AA150" s="63">
        <f>($L150+SUM($W150:Z150))*(S$11*S150)</f>
        <v>-0.35922052560517903</v>
      </c>
      <c r="AB150" s="63">
        <f>($L150+SUM($W150:AA150))*(T$11*T150)</f>
        <v>-0.3661225352017955</v>
      </c>
      <c r="AC150" s="63">
        <f>($L150+SUM($W150:AB150))*(U$11*U150)</f>
        <v>0</v>
      </c>
      <c r="AD150" s="63">
        <f>($L150+SUM($W150:AC150))*(V$11*V150)</f>
        <v>0</v>
      </c>
      <c r="AE150" s="110">
        <f aca="true" t="shared" si="156" ref="AE150:AE163">SUM(W150:AD150)</f>
        <v>-0.7811522388891663</v>
      </c>
    </row>
    <row r="151" spans="1:31" s="69" customFormat="1" ht="12.75">
      <c r="A151" s="3">
        <v>12</v>
      </c>
      <c r="B151" s="83">
        <f t="shared" si="153"/>
        <v>41974</v>
      </c>
      <c r="C151" s="243">
        <f t="shared" si="129"/>
        <v>42010</v>
      </c>
      <c r="D151" s="243">
        <f t="shared" si="129"/>
        <v>42025</v>
      </c>
      <c r="E151" s="84" t="s">
        <v>141</v>
      </c>
      <c r="F151" s="81">
        <v>9</v>
      </c>
      <c r="G151" s="363">
        <v>2</v>
      </c>
      <c r="H151" s="248">
        <f t="shared" si="151"/>
        <v>1586.06</v>
      </c>
      <c r="I151" s="248">
        <f t="shared" si="152"/>
        <v>1541.29</v>
      </c>
      <c r="J151" s="85">
        <f t="shared" si="154"/>
        <v>3082.58</v>
      </c>
      <c r="K151" s="86">
        <f t="shared" si="131"/>
        <v>3172.12</v>
      </c>
      <c r="L151" s="87">
        <f t="shared" si="149"/>
        <v>-89.53999999999996</v>
      </c>
      <c r="M151" s="88">
        <f t="shared" si="133"/>
        <v>-1.2881331683336454</v>
      </c>
      <c r="N151" s="89">
        <f t="shared" si="150"/>
        <v>-90.82813316833361</v>
      </c>
      <c r="O151" s="81">
        <f t="shared" si="136"/>
        <v>0</v>
      </c>
      <c r="P151" s="81">
        <f t="shared" si="137"/>
        <v>0</v>
      </c>
      <c r="Q151" s="81">
        <f t="shared" si="138"/>
        <v>0</v>
      </c>
      <c r="R151" s="81">
        <f t="shared" si="139"/>
        <v>0</v>
      </c>
      <c r="S151" s="81">
        <f t="shared" si="155"/>
        <v>70</v>
      </c>
      <c r="T151" s="81">
        <f t="shared" si="155"/>
        <v>91</v>
      </c>
      <c r="U151" s="81">
        <f t="shared" si="155"/>
        <v>0</v>
      </c>
      <c r="V151" s="107">
        <f t="shared" si="125"/>
        <v>0</v>
      </c>
      <c r="W151" s="142">
        <f t="shared" si="126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-0.5580917808219176</v>
      </c>
      <c r="AB151" s="90">
        <f>($L151+SUM($W151:AA151))*(T$11*T151)</f>
        <v>-0.730041387511728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6"/>
        <v>-1.2881331683336454</v>
      </c>
    </row>
    <row r="152" spans="1:31" ht="12.75">
      <c r="A152" s="16">
        <v>1</v>
      </c>
      <c r="B152" s="15">
        <f t="shared" si="153"/>
        <v>41640</v>
      </c>
      <c r="C152" s="242">
        <f aca="true" t="shared" si="157" ref="C152:D171">+C140</f>
        <v>41675</v>
      </c>
      <c r="D152" s="242">
        <f t="shared" si="157"/>
        <v>41690</v>
      </c>
      <c r="E152" s="117" t="s">
        <v>221</v>
      </c>
      <c r="F152" s="16">
        <v>9</v>
      </c>
      <c r="G152" s="362">
        <v>102</v>
      </c>
      <c r="H152" s="247">
        <f aca="true" t="shared" si="158" ref="H152:H157">$K$3</f>
        <v>1586.22</v>
      </c>
      <c r="I152" s="247">
        <f t="shared" si="152"/>
        <v>1541.29</v>
      </c>
      <c r="J152" s="56">
        <f t="shared" si="154"/>
        <v>157211.58</v>
      </c>
      <c r="K152" s="57">
        <f t="shared" si="131"/>
        <v>161794.44</v>
      </c>
      <c r="L152" s="58">
        <f t="shared" si="149"/>
        <v>-4582.860000000015</v>
      </c>
      <c r="M152" s="55">
        <f t="shared" si="133"/>
        <v>-206.11945463684773</v>
      </c>
      <c r="N152" s="29">
        <f t="shared" si="150"/>
        <v>-4788.979454636863</v>
      </c>
      <c r="O152" s="16">
        <f t="shared" si="136"/>
        <v>40</v>
      </c>
      <c r="P152" s="16">
        <f t="shared" si="137"/>
        <v>91</v>
      </c>
      <c r="Q152" s="16">
        <f t="shared" si="138"/>
        <v>92</v>
      </c>
      <c r="R152" s="16">
        <f t="shared" si="139"/>
        <v>92</v>
      </c>
      <c r="S152" s="16">
        <f t="shared" si="155"/>
        <v>90</v>
      </c>
      <c r="T152" s="16">
        <f t="shared" si="155"/>
        <v>91</v>
      </c>
      <c r="U152" s="16">
        <f t="shared" si="155"/>
        <v>0</v>
      </c>
      <c r="V152" s="106">
        <f aca="true" t="shared" si="159" ref="V152:V159">IF(W$8&lt;V$8,0,IF($D152&lt;V$8,V$12,IF($D152&lt;W$8,W$8-$D152,0)))</f>
        <v>0</v>
      </c>
      <c r="W152" s="141">
        <f aca="true" t="shared" si="160" ref="W152:W159">$L152*O$11*O152</f>
        <v>-16.322515068493203</v>
      </c>
      <c r="X152" s="63">
        <f>($L152+SUM($W152:W152))*(P$11*P152)</f>
        <v>-37.2659788720962</v>
      </c>
      <c r="Y152" s="63">
        <f>($L152+SUM($W152:X152))*(Q$11*Q152)</f>
        <v>-37.98076985447235</v>
      </c>
      <c r="Z152" s="63">
        <f>($L152+SUM($W152:Y152))*(R$11*R152)</f>
        <v>-38.291899996567885</v>
      </c>
      <c r="AA152" s="63">
        <f>($L152+SUM($W152:Z152))*(S$11*S152)</f>
        <v>-37.76632713449468</v>
      </c>
      <c r="AB152" s="63">
        <f>($L152+SUM($W152:AA152))*(T$11*T152)</f>
        <v>-38.49196371072345</v>
      </c>
      <c r="AC152" s="63">
        <f>($L152+SUM($W152:AB152))*(U$11*U152)</f>
        <v>0</v>
      </c>
      <c r="AD152" s="63">
        <f>($L152+SUM($W152:AC152))*(V$11*V152)</f>
        <v>0</v>
      </c>
      <c r="AE152" s="110">
        <f t="shared" si="156"/>
        <v>-206.11945463684773</v>
      </c>
    </row>
    <row r="153" spans="1:31" ht="12.75">
      <c r="A153" s="3">
        <v>2</v>
      </c>
      <c r="B153" s="15">
        <f t="shared" si="153"/>
        <v>41671</v>
      </c>
      <c r="C153" s="243">
        <f t="shared" si="157"/>
        <v>41703</v>
      </c>
      <c r="D153" s="243">
        <f t="shared" si="157"/>
        <v>41718</v>
      </c>
      <c r="E153" s="148" t="s">
        <v>221</v>
      </c>
      <c r="F153" s="3">
        <v>9</v>
      </c>
      <c r="G153" s="362">
        <v>107</v>
      </c>
      <c r="H153" s="247">
        <f t="shared" si="158"/>
        <v>1586.22</v>
      </c>
      <c r="I153" s="247">
        <f t="shared" si="152"/>
        <v>1541.29</v>
      </c>
      <c r="J153" s="56">
        <f t="shared" si="154"/>
        <v>164918.03</v>
      </c>
      <c r="K153" s="57">
        <f t="shared" si="131"/>
        <v>169725.54</v>
      </c>
      <c r="L153" s="58">
        <f t="shared" si="149"/>
        <v>-4807.510000000009</v>
      </c>
      <c r="M153" s="55">
        <f t="shared" si="133"/>
        <v>-203.74287623142055</v>
      </c>
      <c r="N153" s="29">
        <f t="shared" si="150"/>
        <v>-5011.25287623143</v>
      </c>
      <c r="O153" s="16">
        <f t="shared" si="136"/>
        <v>12</v>
      </c>
      <c r="P153" s="16">
        <f t="shared" si="137"/>
        <v>91</v>
      </c>
      <c r="Q153" s="16">
        <f t="shared" si="138"/>
        <v>92</v>
      </c>
      <c r="R153" s="16">
        <f t="shared" si="139"/>
        <v>92</v>
      </c>
      <c r="S153" s="16">
        <f t="shared" si="155"/>
        <v>90</v>
      </c>
      <c r="T153" s="16">
        <f t="shared" si="155"/>
        <v>91</v>
      </c>
      <c r="U153" s="16">
        <f t="shared" si="155"/>
        <v>0</v>
      </c>
      <c r="V153" s="106">
        <f t="shared" si="159"/>
        <v>0</v>
      </c>
      <c r="W153" s="141">
        <f t="shared" si="160"/>
        <v>-5.136791506849325</v>
      </c>
      <c r="X153" s="63">
        <f>($L153+SUM($W153:W153))*(P$11*P153)</f>
        <v>-38.995624344880916</v>
      </c>
      <c r="Y153" s="63">
        <f>($L153+SUM($W153:X153))*(Q$11*Q153)</f>
        <v>-39.74359129697726</v>
      </c>
      <c r="Z153" s="63">
        <f>($L153+SUM($W153:Y153))*(R$11*R153)</f>
        <v>-40.06916208595798</v>
      </c>
      <c r="AA153" s="63">
        <f>($L153+SUM($W153:Z153))*(S$11*S153)</f>
        <v>-39.51919553427787</v>
      </c>
      <c r="AB153" s="63">
        <f>($L153+SUM($W153:AA153))*(T$11*T153)</f>
        <v>-40.2785114624772</v>
      </c>
      <c r="AC153" s="63">
        <f>($L153+SUM($W153:AB153))*(U$11*U153)</f>
        <v>0</v>
      </c>
      <c r="AD153" s="63">
        <f>($L153+SUM($W153:AC153))*(V$11*V153)</f>
        <v>0</v>
      </c>
      <c r="AE153" s="110">
        <f t="shared" si="156"/>
        <v>-203.74287623142055</v>
      </c>
    </row>
    <row r="154" spans="1:31" ht="12.75">
      <c r="A154" s="3">
        <v>3</v>
      </c>
      <c r="B154" s="15">
        <f t="shared" si="153"/>
        <v>41699</v>
      </c>
      <c r="C154" s="243">
        <f t="shared" si="157"/>
        <v>41733</v>
      </c>
      <c r="D154" s="243">
        <f t="shared" si="157"/>
        <v>41750</v>
      </c>
      <c r="E154" s="148" t="s">
        <v>221</v>
      </c>
      <c r="F154" s="3">
        <v>9</v>
      </c>
      <c r="G154" s="362">
        <v>96</v>
      </c>
      <c r="H154" s="247">
        <f t="shared" si="158"/>
        <v>1586.22</v>
      </c>
      <c r="I154" s="247">
        <f t="shared" si="152"/>
        <v>1541.29</v>
      </c>
      <c r="J154" s="56">
        <f t="shared" si="154"/>
        <v>147963.84</v>
      </c>
      <c r="K154" s="57">
        <f t="shared" si="131"/>
        <v>152277.12</v>
      </c>
      <c r="L154" s="58">
        <f>+J154-K154</f>
        <v>-4313.279999999999</v>
      </c>
      <c r="M154" s="55">
        <f t="shared" si="133"/>
        <v>-170.06456571655428</v>
      </c>
      <c r="N154" s="29">
        <f>SUM(L154:M154)</f>
        <v>-4483.344565716553</v>
      </c>
      <c r="O154" s="16">
        <f t="shared" si="136"/>
        <v>0</v>
      </c>
      <c r="P154" s="16">
        <f t="shared" si="137"/>
        <v>71</v>
      </c>
      <c r="Q154" s="16">
        <f t="shared" si="138"/>
        <v>92</v>
      </c>
      <c r="R154" s="16">
        <f t="shared" si="139"/>
        <v>92</v>
      </c>
      <c r="S154" s="16">
        <f t="shared" si="155"/>
        <v>90</v>
      </c>
      <c r="T154" s="16">
        <f t="shared" si="155"/>
        <v>91</v>
      </c>
      <c r="U154" s="16">
        <f t="shared" si="155"/>
        <v>0</v>
      </c>
      <c r="V154" s="106">
        <f>IF(W$8&lt;V$8,0,IF($D154&lt;V$8,V$12,IF($D154&lt;W$8,W$8-$D154,0)))</f>
        <v>0</v>
      </c>
      <c r="W154" s="141">
        <f>$L154*O$11*O154</f>
        <v>0</v>
      </c>
      <c r="X154" s="63">
        <f>($L154+SUM($W154:W154))*(P$11*P154)</f>
        <v>-27.26820164383561</v>
      </c>
      <c r="Y154" s="63">
        <f>($L154+SUM($W154:X154))*(Q$11*Q154)</f>
        <v>-35.556819514835794</v>
      </c>
      <c r="Z154" s="63">
        <f>($L154+SUM($W154:Y154))*(R$11*R154)</f>
        <v>-35.84809318702581</v>
      </c>
      <c r="AA154" s="63">
        <f>($L154+SUM($W154:Z154))*(S$11*S154)</f>
        <v>-35.356062628660716</v>
      </c>
      <c r="AB154" s="63">
        <f>($L154+SUM($W154:AA154))*(T$11*T154)</f>
        <v>-36.03538874219633</v>
      </c>
      <c r="AC154" s="63">
        <f>($L154+SUM($W154:AB154))*(U$11*U154)</f>
        <v>0</v>
      </c>
      <c r="AD154" s="63">
        <f>($L154+SUM($W154:AC154))*(V$11*V154)</f>
        <v>0</v>
      </c>
      <c r="AE154" s="110">
        <f t="shared" si="156"/>
        <v>-170.06456571655428</v>
      </c>
    </row>
    <row r="155" spans="1:31" ht="12.75">
      <c r="A155" s="16">
        <v>4</v>
      </c>
      <c r="B155" s="15">
        <f t="shared" si="153"/>
        <v>41730</v>
      </c>
      <c r="C155" s="243">
        <f t="shared" si="157"/>
        <v>41764</v>
      </c>
      <c r="D155" s="243">
        <f t="shared" si="157"/>
        <v>41779</v>
      </c>
      <c r="E155" s="148" t="s">
        <v>221</v>
      </c>
      <c r="F155" s="3">
        <v>9</v>
      </c>
      <c r="G155" s="362">
        <v>84</v>
      </c>
      <c r="H155" s="247">
        <f t="shared" si="158"/>
        <v>1586.22</v>
      </c>
      <c r="I155" s="247">
        <f t="shared" si="152"/>
        <v>1541.29</v>
      </c>
      <c r="J155" s="56">
        <f t="shared" si="154"/>
        <v>129468.36</v>
      </c>
      <c r="K155" s="57">
        <f t="shared" si="131"/>
        <v>133242.48</v>
      </c>
      <c r="L155" s="58">
        <f aca="true" t="shared" si="161" ref="L155:L165">+J155-K155</f>
        <v>-3774.12000000001</v>
      </c>
      <c r="M155" s="55">
        <f t="shared" si="133"/>
        <v>-138.74038357888793</v>
      </c>
      <c r="N155" s="29">
        <f aca="true" t="shared" si="162" ref="N155:N165">SUM(L155:M155)</f>
        <v>-3912.8603835788977</v>
      </c>
      <c r="O155" s="16">
        <f aca="true" t="shared" si="163" ref="O155:U159">IF($D155&lt;O$8,O$12,IF($D155&lt;P$8,P$8-$D155,0))</f>
        <v>0</v>
      </c>
      <c r="P155" s="16">
        <f t="shared" si="163"/>
        <v>42</v>
      </c>
      <c r="Q155" s="16">
        <f t="shared" si="163"/>
        <v>92</v>
      </c>
      <c r="R155" s="16">
        <f t="shared" si="163"/>
        <v>92</v>
      </c>
      <c r="S155" s="16">
        <f t="shared" si="163"/>
        <v>90</v>
      </c>
      <c r="T155" s="16">
        <f t="shared" si="163"/>
        <v>91</v>
      </c>
      <c r="U155" s="16">
        <f t="shared" si="163"/>
        <v>0</v>
      </c>
      <c r="V155" s="106">
        <f t="shared" si="159"/>
        <v>0</v>
      </c>
      <c r="W155" s="141">
        <f t="shared" si="160"/>
        <v>0</v>
      </c>
      <c r="X155" s="63">
        <f>($L155+SUM($W155:W155))*(P$11*P155)</f>
        <v>-14.114174794520585</v>
      </c>
      <c r="Y155" s="63">
        <f>($L155+SUM($W155:X155))*(Q$11*Q155)</f>
        <v>-31.032384062015467</v>
      </c>
      <c r="Z155" s="63">
        <f>($L155+SUM($W155:Y155))*(R$11*R155)</f>
        <v>-31.286594550633072</v>
      </c>
      <c r="AA155" s="63">
        <f>($L155+SUM($W155:Z155))*(S$11*S155)</f>
        <v>-30.85717253072876</v>
      </c>
      <c r="AB155" s="63">
        <f>($L155+SUM($W155:AA155))*(T$11*T155)</f>
        <v>-31.450057640990032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56"/>
        <v>-138.74038357888793</v>
      </c>
    </row>
    <row r="156" spans="1:31" ht="12.75">
      <c r="A156" s="3">
        <v>5</v>
      </c>
      <c r="B156" s="15">
        <f t="shared" si="153"/>
        <v>41760</v>
      </c>
      <c r="C156" s="243">
        <f t="shared" si="157"/>
        <v>41794</v>
      </c>
      <c r="D156" s="243">
        <f t="shared" si="157"/>
        <v>41809</v>
      </c>
      <c r="E156" s="148" t="s">
        <v>221</v>
      </c>
      <c r="F156" s="3">
        <v>9</v>
      </c>
      <c r="G156" s="362">
        <v>110</v>
      </c>
      <c r="H156" s="247">
        <f t="shared" si="158"/>
        <v>1586.22</v>
      </c>
      <c r="I156" s="247">
        <f t="shared" si="152"/>
        <v>1541.29</v>
      </c>
      <c r="J156" s="56">
        <f t="shared" si="154"/>
        <v>169541.9</v>
      </c>
      <c r="K156" s="57">
        <f t="shared" si="131"/>
        <v>174484.2</v>
      </c>
      <c r="L156" s="58">
        <f t="shared" si="161"/>
        <v>-4942.3000000000175</v>
      </c>
      <c r="M156" s="55">
        <f t="shared" si="133"/>
        <v>-168.04747779984856</v>
      </c>
      <c r="N156" s="29">
        <f t="shared" si="162"/>
        <v>-5110.347477799866</v>
      </c>
      <c r="O156" s="16">
        <f t="shared" si="163"/>
        <v>0</v>
      </c>
      <c r="P156" s="16">
        <f t="shared" si="163"/>
        <v>12</v>
      </c>
      <c r="Q156" s="16">
        <f t="shared" si="163"/>
        <v>92</v>
      </c>
      <c r="R156" s="16">
        <f t="shared" si="163"/>
        <v>92</v>
      </c>
      <c r="S156" s="16">
        <f t="shared" si="163"/>
        <v>90</v>
      </c>
      <c r="T156" s="16">
        <f t="shared" si="163"/>
        <v>91</v>
      </c>
      <c r="U156" s="16">
        <f t="shared" si="163"/>
        <v>0</v>
      </c>
      <c r="V156" s="106">
        <f t="shared" si="159"/>
        <v>0</v>
      </c>
      <c r="W156" s="141">
        <f t="shared" si="160"/>
        <v>0</v>
      </c>
      <c r="X156" s="63">
        <f>($L156+SUM($W156:W156))*(P$11*P156)</f>
        <v>-5.280813698630156</v>
      </c>
      <c r="Y156" s="63">
        <f>($L156+SUM($W156:X156))*(Q$11*Q156)</f>
        <v>-40.52949762454509</v>
      </c>
      <c r="Z156" s="63">
        <f>($L156+SUM($W156:Y156))*(R$11*R156)</f>
        <v>-40.861506385907795</v>
      </c>
      <c r="AA156" s="63">
        <f>($L156+SUM($W156:Z156))*(S$11*S156)</f>
        <v>-40.30066456657293</v>
      </c>
      <c r="AB156" s="63">
        <f>($L156+SUM($W156:AA156))*(T$11*T156)</f>
        <v>-41.074995524192616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56"/>
        <v>-168.04747779984856</v>
      </c>
    </row>
    <row r="157" spans="1:31" ht="12.75">
      <c r="A157" s="3">
        <v>6</v>
      </c>
      <c r="B157" s="15">
        <f t="shared" si="153"/>
        <v>41791</v>
      </c>
      <c r="C157" s="243">
        <f t="shared" si="157"/>
        <v>41823</v>
      </c>
      <c r="D157" s="243">
        <f t="shared" si="157"/>
        <v>41838</v>
      </c>
      <c r="E157" s="148" t="s">
        <v>221</v>
      </c>
      <c r="F157" s="3">
        <v>9</v>
      </c>
      <c r="G157" s="362">
        <v>128</v>
      </c>
      <c r="H157" s="247">
        <f t="shared" si="158"/>
        <v>1586.22</v>
      </c>
      <c r="I157" s="247">
        <f t="shared" si="152"/>
        <v>1541.29</v>
      </c>
      <c r="J157" s="56">
        <f t="shared" si="154"/>
        <v>197285.12</v>
      </c>
      <c r="K157" s="57">
        <f t="shared" si="131"/>
        <v>203036.16</v>
      </c>
      <c r="L157" s="77">
        <f t="shared" si="161"/>
        <v>-5751.040000000008</v>
      </c>
      <c r="M157" s="78">
        <f t="shared" si="133"/>
        <v>-180.2803793365357</v>
      </c>
      <c r="N157" s="76">
        <f t="shared" si="162"/>
        <v>-5931.320379336544</v>
      </c>
      <c r="O157" s="16">
        <f t="shared" si="163"/>
        <v>0</v>
      </c>
      <c r="P157" s="16">
        <f t="shared" si="163"/>
        <v>0</v>
      </c>
      <c r="Q157" s="16">
        <f t="shared" si="163"/>
        <v>75</v>
      </c>
      <c r="R157" s="16">
        <f t="shared" si="163"/>
        <v>92</v>
      </c>
      <c r="S157" s="16">
        <f t="shared" si="163"/>
        <v>90</v>
      </c>
      <c r="T157" s="16">
        <f t="shared" si="163"/>
        <v>91</v>
      </c>
      <c r="U157" s="16">
        <f t="shared" si="163"/>
        <v>0</v>
      </c>
      <c r="V157" s="106">
        <f t="shared" si="159"/>
        <v>0</v>
      </c>
      <c r="W157" s="141">
        <f t="shared" si="160"/>
        <v>0</v>
      </c>
      <c r="X157" s="63">
        <f>($L157+SUM($W157:W157))*(P$11*P157)</f>
        <v>0</v>
      </c>
      <c r="Y157" s="63">
        <f>($L157+SUM($W157:X157))*(Q$11*Q157)</f>
        <v>-38.405917808219236</v>
      </c>
      <c r="Z157" s="63">
        <f>($L157+SUM($W157:Y157))*(R$11*R157)</f>
        <v>-47.42587203903177</v>
      </c>
      <c r="AA157" s="63">
        <f>($L157+SUM($W157:Z157))*(S$11*S157)</f>
        <v>-46.77493146658419</v>
      </c>
      <c r="AB157" s="63">
        <f>($L157+SUM($W157:AA157))*(T$11*T157)</f>
        <v>-47.67365802270052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56"/>
        <v>-180.2803793365357</v>
      </c>
    </row>
    <row r="158" spans="1:31" ht="12.75">
      <c r="A158" s="16">
        <v>7</v>
      </c>
      <c r="B158" s="15">
        <f t="shared" si="153"/>
        <v>41821</v>
      </c>
      <c r="C158" s="243">
        <f t="shared" si="157"/>
        <v>41856</v>
      </c>
      <c r="D158" s="243">
        <f t="shared" si="157"/>
        <v>41871</v>
      </c>
      <c r="E158" s="148" t="s">
        <v>221</v>
      </c>
      <c r="F158" s="3">
        <v>9</v>
      </c>
      <c r="G158" s="362">
        <v>124</v>
      </c>
      <c r="H158" s="247">
        <f aca="true" t="shared" si="164" ref="H158:H163">$K$8</f>
        <v>1586.06</v>
      </c>
      <c r="I158" s="247">
        <f t="shared" si="152"/>
        <v>1541.29</v>
      </c>
      <c r="J158" s="56">
        <f t="shared" si="154"/>
        <v>191119.96</v>
      </c>
      <c r="K158" s="74">
        <f t="shared" si="131"/>
        <v>196671.44</v>
      </c>
      <c r="L158" s="77">
        <f t="shared" si="161"/>
        <v>-5551.4800000000105</v>
      </c>
      <c r="M158" s="75">
        <f t="shared" si="133"/>
        <v>-157.3127161927825</v>
      </c>
      <c r="N158" s="76">
        <f t="shared" si="162"/>
        <v>-5708.792716192793</v>
      </c>
      <c r="O158" s="16">
        <f t="shared" si="163"/>
        <v>0</v>
      </c>
      <c r="P158" s="16">
        <f t="shared" si="163"/>
        <v>0</v>
      </c>
      <c r="Q158" s="16">
        <f t="shared" si="163"/>
        <v>42</v>
      </c>
      <c r="R158" s="16">
        <f t="shared" si="163"/>
        <v>92</v>
      </c>
      <c r="S158" s="16">
        <f t="shared" si="163"/>
        <v>90</v>
      </c>
      <c r="T158" s="16">
        <f t="shared" si="163"/>
        <v>91</v>
      </c>
      <c r="U158" s="16">
        <f t="shared" si="163"/>
        <v>0</v>
      </c>
      <c r="V158" s="106">
        <f t="shared" si="159"/>
        <v>0</v>
      </c>
      <c r="W158" s="141">
        <f t="shared" si="160"/>
        <v>0</v>
      </c>
      <c r="X158" s="63">
        <f>($L158+SUM($W158:W158))*(P$11*P158)</f>
        <v>0</v>
      </c>
      <c r="Y158" s="63">
        <f>($L158+SUM($W158:X158))*(Q$11*Q158)</f>
        <v>-20.76101424657538</v>
      </c>
      <c r="Z158" s="63">
        <f>($L158+SUM($W158:Y158))*(R$11*R158)</f>
        <v>-45.64657707560902</v>
      </c>
      <c r="AA158" s="63">
        <f>($L158+SUM($W158:Z158))*(S$11*S158)</f>
        <v>-45.02005809484224</v>
      </c>
      <c r="AB158" s="63">
        <f>($L158+SUM($W158:AA158))*(T$11*T158)</f>
        <v>-45.88506677575585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56"/>
        <v>-157.3127161927825</v>
      </c>
    </row>
    <row r="159" spans="1:34" ht="12.75">
      <c r="A159" s="3">
        <v>8</v>
      </c>
      <c r="B159" s="15">
        <f t="shared" si="153"/>
        <v>41852</v>
      </c>
      <c r="C159" s="243">
        <f t="shared" si="157"/>
        <v>41886</v>
      </c>
      <c r="D159" s="243">
        <f t="shared" si="157"/>
        <v>41901</v>
      </c>
      <c r="E159" s="148" t="s">
        <v>221</v>
      </c>
      <c r="F159" s="16">
        <v>9</v>
      </c>
      <c r="G159" s="362">
        <v>149</v>
      </c>
      <c r="H159" s="247">
        <f t="shared" si="164"/>
        <v>1586.06</v>
      </c>
      <c r="I159" s="247">
        <f t="shared" si="152"/>
        <v>1541.29</v>
      </c>
      <c r="J159" s="56">
        <f t="shared" si="154"/>
        <v>229652.21</v>
      </c>
      <c r="K159" s="74">
        <f t="shared" si="131"/>
        <v>236322.94</v>
      </c>
      <c r="L159" s="77">
        <f t="shared" si="161"/>
        <v>-6670.7300000000105</v>
      </c>
      <c r="M159" s="75">
        <f t="shared" si="133"/>
        <v>-170.77324735385156</v>
      </c>
      <c r="N159" s="76">
        <f t="shared" si="162"/>
        <v>-6841.503247353862</v>
      </c>
      <c r="O159" s="16">
        <f t="shared" si="163"/>
        <v>0</v>
      </c>
      <c r="P159" s="16">
        <f t="shared" si="163"/>
        <v>0</v>
      </c>
      <c r="Q159" s="16">
        <f t="shared" si="163"/>
        <v>12</v>
      </c>
      <c r="R159" s="16">
        <f t="shared" si="163"/>
        <v>92</v>
      </c>
      <c r="S159" s="16">
        <f t="shared" si="163"/>
        <v>90</v>
      </c>
      <c r="T159" s="16">
        <f t="shared" si="163"/>
        <v>91</v>
      </c>
      <c r="U159" s="16">
        <f t="shared" si="163"/>
        <v>0</v>
      </c>
      <c r="V159" s="106">
        <f t="shared" si="159"/>
        <v>0</v>
      </c>
      <c r="W159" s="141">
        <f t="shared" si="160"/>
        <v>0</v>
      </c>
      <c r="X159" s="63">
        <f>($L159+SUM($W159:W159))*(P$11*P159)</f>
        <v>0</v>
      </c>
      <c r="Y159" s="63">
        <f>($L159+SUM($W159:X159))*(Q$11*Q159)</f>
        <v>-7.127629315068504</v>
      </c>
      <c r="Z159" s="63">
        <f>($L159+SUM($W159:Y159))*(R$11*R159)</f>
        <v>-54.70354605932078</v>
      </c>
      <c r="AA159" s="63">
        <f>($L159+SUM($W159:Z159))*(S$11*S159)</f>
        <v>-53.95271626841128</v>
      </c>
      <c r="AB159" s="63">
        <f>($L159+SUM($W159:AA159))*(T$11*T159)</f>
        <v>-54.989355711051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56"/>
        <v>-170.77324735385156</v>
      </c>
      <c r="AF159" s="13"/>
      <c r="AG159" s="13"/>
      <c r="AH159" s="13"/>
    </row>
    <row r="160" spans="1:31" ht="12.75">
      <c r="A160" s="3">
        <v>9</v>
      </c>
      <c r="B160" s="15">
        <f t="shared" si="153"/>
        <v>41883</v>
      </c>
      <c r="C160" s="243">
        <f t="shared" si="157"/>
        <v>41915</v>
      </c>
      <c r="D160" s="243">
        <f t="shared" si="157"/>
        <v>41932</v>
      </c>
      <c r="E160" s="148" t="s">
        <v>221</v>
      </c>
      <c r="F160" s="16">
        <v>9</v>
      </c>
      <c r="G160" s="362">
        <v>138</v>
      </c>
      <c r="H160" s="247">
        <f t="shared" si="164"/>
        <v>1586.06</v>
      </c>
      <c r="I160" s="247">
        <f t="shared" si="152"/>
        <v>1541.29</v>
      </c>
      <c r="J160" s="56">
        <f t="shared" si="154"/>
        <v>212698.02</v>
      </c>
      <c r="K160" s="74">
        <f t="shared" si="131"/>
        <v>218876.28</v>
      </c>
      <c r="L160" s="77">
        <f t="shared" si="161"/>
        <v>-6178.260000000009</v>
      </c>
      <c r="M160" s="75">
        <f t="shared" si="133"/>
        <v>-140.7812315377294</v>
      </c>
      <c r="N160" s="76">
        <f t="shared" si="162"/>
        <v>-6319.041231537739</v>
      </c>
      <c r="O160" s="16">
        <f aca="true" t="shared" si="165" ref="O160:U171">IF($D160&lt;O$8,O$12,IF($D160&lt;P$8,P$8-$D160,0))</f>
        <v>0</v>
      </c>
      <c r="P160" s="16">
        <f t="shared" si="165"/>
        <v>0</v>
      </c>
      <c r="Q160" s="16">
        <f t="shared" si="165"/>
        <v>0</v>
      </c>
      <c r="R160" s="16">
        <f t="shared" si="165"/>
        <v>73</v>
      </c>
      <c r="S160" s="16">
        <f t="shared" si="165"/>
        <v>90</v>
      </c>
      <c r="T160" s="16">
        <f t="shared" si="165"/>
        <v>91</v>
      </c>
      <c r="U160" s="16">
        <f t="shared" si="165"/>
        <v>0</v>
      </c>
      <c r="V160" s="106">
        <f>IF(W$8&lt;V$8,0,IF($D160&lt;V$8,V$12,IF($D160&lt;W$8,W$8-$D160,0)))</f>
        <v>0</v>
      </c>
      <c r="W160" s="141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-40.15869000000006</v>
      </c>
      <c r="AA160" s="63">
        <f>($L160+SUM($W160:Z160))*(S$11*S160)</f>
        <v>-49.83253333767131</v>
      </c>
      <c r="AB160" s="63">
        <f>($L160+SUM($W160:AA160))*(T$11*T160)</f>
        <v>-50.79000820005806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56"/>
        <v>-140.7812315377294</v>
      </c>
    </row>
    <row r="161" spans="1:31" ht="12.75">
      <c r="A161" s="16">
        <v>10</v>
      </c>
      <c r="B161" s="15">
        <f t="shared" si="153"/>
        <v>41913</v>
      </c>
      <c r="C161" s="243">
        <f t="shared" si="157"/>
        <v>41948</v>
      </c>
      <c r="D161" s="243">
        <f t="shared" si="157"/>
        <v>41963</v>
      </c>
      <c r="E161" s="148" t="s">
        <v>221</v>
      </c>
      <c r="F161" s="16">
        <v>9</v>
      </c>
      <c r="G161" s="362">
        <v>110</v>
      </c>
      <c r="H161" s="247">
        <f t="shared" si="164"/>
        <v>1586.06</v>
      </c>
      <c r="I161" s="247">
        <f t="shared" si="152"/>
        <v>1541.29</v>
      </c>
      <c r="J161" s="56">
        <f t="shared" si="154"/>
        <v>169541.9</v>
      </c>
      <c r="K161" s="74">
        <f t="shared" si="131"/>
        <v>174466.6</v>
      </c>
      <c r="L161" s="77">
        <f t="shared" si="161"/>
        <v>-4924.700000000012</v>
      </c>
      <c r="M161" s="75">
        <f t="shared" si="133"/>
        <v>-98.40344064267647</v>
      </c>
      <c r="N161" s="76">
        <f t="shared" si="162"/>
        <v>-5023.103440642688</v>
      </c>
      <c r="O161" s="16">
        <f t="shared" si="165"/>
        <v>0</v>
      </c>
      <c r="P161" s="16">
        <f t="shared" si="165"/>
        <v>0</v>
      </c>
      <c r="Q161" s="16">
        <f t="shared" si="165"/>
        <v>0</v>
      </c>
      <c r="R161" s="16">
        <f t="shared" si="165"/>
        <v>42</v>
      </c>
      <c r="S161" s="16">
        <f t="shared" si="165"/>
        <v>90</v>
      </c>
      <c r="T161" s="16">
        <f t="shared" si="165"/>
        <v>91</v>
      </c>
      <c r="U161" s="16">
        <f t="shared" si="165"/>
        <v>0</v>
      </c>
      <c r="V161" s="106">
        <f>IF(W$8&lt;V$8,0,IF($D161&lt;V$8,V$12,IF($D161&lt;W$8,W$8-$D161,0)))</f>
        <v>0</v>
      </c>
      <c r="W161" s="141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-18.41702876712333</v>
      </c>
      <c r="AA161" s="63">
        <f>($L161+SUM($W161:Z161))*(S$11*S161)</f>
        <v>-39.612650162037994</v>
      </c>
      <c r="AB161" s="63">
        <f>($L161+SUM($W161:AA161))*(T$11*T161)</f>
        <v>-40.37376171351515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56"/>
        <v>-98.40344064267647</v>
      </c>
    </row>
    <row r="162" spans="1:31" ht="12.75">
      <c r="A162" s="3">
        <v>11</v>
      </c>
      <c r="B162" s="15">
        <f t="shared" si="153"/>
        <v>41944</v>
      </c>
      <c r="C162" s="243">
        <f t="shared" si="157"/>
        <v>41976</v>
      </c>
      <c r="D162" s="243">
        <f t="shared" si="157"/>
        <v>41991</v>
      </c>
      <c r="E162" s="148" t="s">
        <v>221</v>
      </c>
      <c r="F162" s="16">
        <v>9</v>
      </c>
      <c r="G162" s="362">
        <v>98</v>
      </c>
      <c r="H162" s="247">
        <f t="shared" si="164"/>
        <v>1586.06</v>
      </c>
      <c r="I162" s="247">
        <f t="shared" si="152"/>
        <v>1541.29</v>
      </c>
      <c r="J162" s="56">
        <f t="shared" si="154"/>
        <v>151046.41999999998</v>
      </c>
      <c r="K162" s="74">
        <f t="shared" si="131"/>
        <v>155433.88</v>
      </c>
      <c r="L162" s="77">
        <f t="shared" si="161"/>
        <v>-4387.460000000021</v>
      </c>
      <c r="M162" s="75">
        <f t="shared" si="133"/>
        <v>-76.55291941113869</v>
      </c>
      <c r="N162" s="76">
        <f t="shared" si="162"/>
        <v>-4464.01291941116</v>
      </c>
      <c r="O162" s="16">
        <f t="shared" si="165"/>
        <v>0</v>
      </c>
      <c r="P162" s="16">
        <f t="shared" si="165"/>
        <v>0</v>
      </c>
      <c r="Q162" s="16">
        <f t="shared" si="165"/>
        <v>0</v>
      </c>
      <c r="R162" s="16">
        <f t="shared" si="165"/>
        <v>14</v>
      </c>
      <c r="S162" s="16">
        <f t="shared" si="165"/>
        <v>90</v>
      </c>
      <c r="T162" s="16">
        <f t="shared" si="165"/>
        <v>91</v>
      </c>
      <c r="U162" s="16">
        <f t="shared" si="165"/>
        <v>0</v>
      </c>
      <c r="V162" s="106">
        <f>IF(W$8&lt;V$8,0,IF($D162&lt;V$8,V$12,IF($D162&lt;W$8,W$8-$D162,0)))</f>
        <v>0</v>
      </c>
      <c r="W162" s="141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-5.469299452054821</v>
      </c>
      <c r="AA162" s="63">
        <f>($L162+SUM($W162:Z162))*(S$11*S162)</f>
        <v>-35.20361150930773</v>
      </c>
      <c r="AB162" s="63">
        <f>($L162+SUM($W162:AA162))*(T$11*T162)</f>
        <v>-35.88000844977614</v>
      </c>
      <c r="AC162" s="63">
        <f>($L162+SUM($W162:AB162))*(U$11*U162)</f>
        <v>0</v>
      </c>
      <c r="AD162" s="63">
        <f>($L162+SUM($W162:AC162))*(V$11*V162)</f>
        <v>0</v>
      </c>
      <c r="AE162" s="110">
        <f t="shared" si="156"/>
        <v>-76.55291941113869</v>
      </c>
    </row>
    <row r="163" spans="1:31" s="69" customFormat="1" ht="12.75">
      <c r="A163" s="3">
        <v>12</v>
      </c>
      <c r="B163" s="83">
        <f t="shared" si="153"/>
        <v>41974</v>
      </c>
      <c r="C163" s="243">
        <f t="shared" si="157"/>
        <v>42010</v>
      </c>
      <c r="D163" s="243">
        <f t="shared" si="157"/>
        <v>42025</v>
      </c>
      <c r="E163" s="149" t="s">
        <v>221</v>
      </c>
      <c r="F163" s="81">
        <v>9</v>
      </c>
      <c r="G163" s="363">
        <v>85</v>
      </c>
      <c r="H163" s="248">
        <f t="shared" si="164"/>
        <v>1586.06</v>
      </c>
      <c r="I163" s="248">
        <f t="shared" si="152"/>
        <v>1541.29</v>
      </c>
      <c r="J163" s="85">
        <f t="shared" si="154"/>
        <v>131009.65</v>
      </c>
      <c r="K163" s="86">
        <f t="shared" si="131"/>
        <v>134815.1</v>
      </c>
      <c r="L163" s="87">
        <f t="shared" si="161"/>
        <v>-3805.4500000000116</v>
      </c>
      <c r="M163" s="88">
        <f t="shared" si="133"/>
        <v>-54.74565965418013</v>
      </c>
      <c r="N163" s="89">
        <f t="shared" si="162"/>
        <v>-3860.195659654192</v>
      </c>
      <c r="O163" s="81">
        <f t="shared" si="165"/>
        <v>0</v>
      </c>
      <c r="P163" s="81">
        <f t="shared" si="165"/>
        <v>0</v>
      </c>
      <c r="Q163" s="81">
        <f t="shared" si="165"/>
        <v>0</v>
      </c>
      <c r="R163" s="81">
        <f t="shared" si="165"/>
        <v>0</v>
      </c>
      <c r="S163" s="81">
        <f t="shared" si="165"/>
        <v>70</v>
      </c>
      <c r="T163" s="81">
        <f t="shared" si="165"/>
        <v>91</v>
      </c>
      <c r="U163" s="81">
        <f t="shared" si="165"/>
        <v>0</v>
      </c>
      <c r="V163" s="107">
        <f>IF(W$8&lt;V$8,0,IF($D163&lt;V$8,V$12,IF($D163&lt;W$8,W$8-$D163,0)))</f>
        <v>0</v>
      </c>
      <c r="W163" s="142">
        <f>$L163*O$11*O163</f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-23.71890068493158</v>
      </c>
      <c r="AB163" s="90">
        <f>($L163+SUM($W163:AA163))*(T$11*T163)</f>
        <v>-31.026758969248547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56"/>
        <v>-54.74565965418013</v>
      </c>
    </row>
    <row r="164" spans="1:31" ht="12.75">
      <c r="A164" s="16">
        <v>1</v>
      </c>
      <c r="B164" s="15">
        <f t="shared" si="153"/>
        <v>41640</v>
      </c>
      <c r="C164" s="242">
        <f t="shared" si="157"/>
        <v>41675</v>
      </c>
      <c r="D164" s="242">
        <f t="shared" si="157"/>
        <v>41690</v>
      </c>
      <c r="E164" s="117" t="s">
        <v>222</v>
      </c>
      <c r="F164" s="16">
        <v>9</v>
      </c>
      <c r="G164" s="362">
        <v>12</v>
      </c>
      <c r="H164" s="247">
        <f aca="true" t="shared" si="166" ref="H164:H169">$K$3</f>
        <v>1586.22</v>
      </c>
      <c r="I164" s="247">
        <f t="shared" si="152"/>
        <v>1541.29</v>
      </c>
      <c r="J164" s="56">
        <f t="shared" si="154"/>
        <v>18495.48</v>
      </c>
      <c r="K164" s="57">
        <f t="shared" si="131"/>
        <v>19034.64</v>
      </c>
      <c r="L164" s="58">
        <f t="shared" si="161"/>
        <v>-539.1599999999999</v>
      </c>
      <c r="M164" s="55">
        <f t="shared" si="133"/>
        <v>-24.249347604334947</v>
      </c>
      <c r="N164" s="29">
        <f t="shared" si="162"/>
        <v>-563.4093476043348</v>
      </c>
      <c r="O164" s="16">
        <f t="shared" si="165"/>
        <v>40</v>
      </c>
      <c r="P164" s="16">
        <f t="shared" si="165"/>
        <v>91</v>
      </c>
      <c r="Q164" s="16">
        <f t="shared" si="165"/>
        <v>92</v>
      </c>
      <c r="R164" s="16">
        <f t="shared" si="165"/>
        <v>92</v>
      </c>
      <c r="S164" s="16">
        <f t="shared" si="165"/>
        <v>90</v>
      </c>
      <c r="T164" s="16">
        <f t="shared" si="165"/>
        <v>91</v>
      </c>
      <c r="U164" s="16">
        <f t="shared" si="165"/>
        <v>0</v>
      </c>
      <c r="V164" s="106">
        <f aca="true" t="shared" si="167" ref="V164:V171">IF(W$8&lt;V$8,0,IF($D164&lt;V$8,V$12,IF($D164&lt;W$8,W$8-$D164,0)))</f>
        <v>0</v>
      </c>
      <c r="W164" s="141">
        <f aca="true" t="shared" si="168" ref="W164:W171">$L164*O$11*O164</f>
        <v>-1.9202958904109586</v>
      </c>
      <c r="X164" s="63">
        <f>($L164+SUM($W164:W164))*(P$11*P164)</f>
        <v>-4.384232808481891</v>
      </c>
      <c r="Y164" s="63">
        <f>($L164+SUM($W164:X164))*(Q$11*Q164)</f>
        <v>-4.468325865232024</v>
      </c>
      <c r="Z164" s="63">
        <f>($L164+SUM($W164:Y164))*(R$11*R164)</f>
        <v>-4.504929411360911</v>
      </c>
      <c r="AA164" s="63">
        <f>($L164+SUM($W164:Z164))*(S$11*S164)</f>
        <v>-4.443097309940535</v>
      </c>
      <c r="AB164" s="63">
        <f>($L164+SUM($W164:AA164))*(T$11*T164)</f>
        <v>-4.528466318908625</v>
      </c>
      <c r="AC164" s="63">
        <f>($L164+SUM($W164:AB164))*(U$11*U164)</f>
        <v>0</v>
      </c>
      <c r="AD164" s="63">
        <f>($L164+SUM($W164:AC164))*(V$11*V164)</f>
        <v>0</v>
      </c>
      <c r="AE164" s="110">
        <f aca="true" t="shared" si="169" ref="AE164:AE175">SUM(W164:AD164)</f>
        <v>-24.249347604334947</v>
      </c>
    </row>
    <row r="165" spans="1:31" ht="12.75">
      <c r="A165" s="3">
        <v>2</v>
      </c>
      <c r="B165" s="15">
        <f t="shared" si="153"/>
        <v>41671</v>
      </c>
      <c r="C165" s="243">
        <f t="shared" si="157"/>
        <v>41703</v>
      </c>
      <c r="D165" s="243">
        <f t="shared" si="157"/>
        <v>41718</v>
      </c>
      <c r="E165" s="148" t="s">
        <v>222</v>
      </c>
      <c r="F165" s="3">
        <v>9</v>
      </c>
      <c r="G165" s="362">
        <v>12</v>
      </c>
      <c r="H165" s="247">
        <f t="shared" si="166"/>
        <v>1586.22</v>
      </c>
      <c r="I165" s="247">
        <f t="shared" si="152"/>
        <v>1541.29</v>
      </c>
      <c r="J165" s="56">
        <f t="shared" si="154"/>
        <v>18495.48</v>
      </c>
      <c r="K165" s="57">
        <f t="shared" si="131"/>
        <v>19034.64</v>
      </c>
      <c r="L165" s="58">
        <f t="shared" si="161"/>
        <v>-539.1599999999999</v>
      </c>
      <c r="M165" s="55">
        <f t="shared" si="133"/>
        <v>-22.849668362402255</v>
      </c>
      <c r="N165" s="29">
        <f t="shared" si="162"/>
        <v>-562.0096683624021</v>
      </c>
      <c r="O165" s="16">
        <f t="shared" si="165"/>
        <v>12</v>
      </c>
      <c r="P165" s="16">
        <f t="shared" si="165"/>
        <v>91</v>
      </c>
      <c r="Q165" s="16">
        <f t="shared" si="165"/>
        <v>92</v>
      </c>
      <c r="R165" s="16">
        <f t="shared" si="165"/>
        <v>92</v>
      </c>
      <c r="S165" s="16">
        <f t="shared" si="165"/>
        <v>90</v>
      </c>
      <c r="T165" s="16">
        <f t="shared" si="165"/>
        <v>91</v>
      </c>
      <c r="U165" s="16">
        <f t="shared" si="165"/>
        <v>0</v>
      </c>
      <c r="V165" s="106">
        <f t="shared" si="167"/>
        <v>0</v>
      </c>
      <c r="W165" s="141">
        <f t="shared" si="168"/>
        <v>-0.5760887671232875</v>
      </c>
      <c r="X165" s="63">
        <f>($L165+SUM($W165:W165))*(P$11*P165)</f>
        <v>-4.3733410480240185</v>
      </c>
      <c r="Y165" s="63">
        <f>($L165+SUM($W165:X165))*(Q$11*Q165)</f>
        <v>-4.457225192184355</v>
      </c>
      <c r="Z165" s="63">
        <f>($L165+SUM($W165:Y165))*(R$11*R165)</f>
        <v>-4.49373780403266</v>
      </c>
      <c r="AA165" s="63">
        <f>($L165+SUM($W165:Z165))*(S$11*S165)</f>
        <v>-4.432059312255452</v>
      </c>
      <c r="AB165" s="63">
        <f>($L165+SUM($W165:AA165))*(T$11*T165)</f>
        <v>-4.5172162387824795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69"/>
        <v>-22.849668362402255</v>
      </c>
    </row>
    <row r="166" spans="1:31" ht="12.75">
      <c r="A166" s="3">
        <v>3</v>
      </c>
      <c r="B166" s="15">
        <f t="shared" si="153"/>
        <v>41699</v>
      </c>
      <c r="C166" s="243">
        <f t="shared" si="157"/>
        <v>41733</v>
      </c>
      <c r="D166" s="243">
        <f t="shared" si="157"/>
        <v>41750</v>
      </c>
      <c r="E166" s="148" t="s">
        <v>222</v>
      </c>
      <c r="F166" s="3">
        <v>9</v>
      </c>
      <c r="G166" s="362">
        <v>13</v>
      </c>
      <c r="H166" s="247">
        <f t="shared" si="166"/>
        <v>1586.22</v>
      </c>
      <c r="I166" s="247">
        <f t="shared" si="152"/>
        <v>1541.29</v>
      </c>
      <c r="J166" s="56">
        <f t="shared" si="154"/>
        <v>20036.77</v>
      </c>
      <c r="K166" s="57">
        <f t="shared" si="131"/>
        <v>20620.86</v>
      </c>
      <c r="L166" s="58">
        <f>+J166-K166</f>
        <v>-584.0900000000001</v>
      </c>
      <c r="M166" s="55">
        <f t="shared" si="133"/>
        <v>-23.02957660745007</v>
      </c>
      <c r="N166" s="29">
        <f>SUM(L166:M166)</f>
        <v>-607.1195766074502</v>
      </c>
      <c r="O166" s="16">
        <f t="shared" si="165"/>
        <v>0</v>
      </c>
      <c r="P166" s="16">
        <f t="shared" si="165"/>
        <v>71</v>
      </c>
      <c r="Q166" s="16">
        <f t="shared" si="165"/>
        <v>92</v>
      </c>
      <c r="R166" s="16">
        <f t="shared" si="165"/>
        <v>92</v>
      </c>
      <c r="S166" s="16">
        <f t="shared" si="165"/>
        <v>90</v>
      </c>
      <c r="T166" s="16">
        <f t="shared" si="165"/>
        <v>91</v>
      </c>
      <c r="U166" s="16">
        <f t="shared" si="165"/>
        <v>0</v>
      </c>
      <c r="V166" s="106">
        <f t="shared" si="167"/>
        <v>0</v>
      </c>
      <c r="W166" s="141">
        <f t="shared" si="168"/>
        <v>0</v>
      </c>
      <c r="X166" s="63">
        <f>($L166+SUM($W166:W166))*(P$11*P166)</f>
        <v>-3.6925689726027406</v>
      </c>
      <c r="Y166" s="63">
        <f>($L166+SUM($W166:X166))*(Q$11*Q166)</f>
        <v>-4.81498597596735</v>
      </c>
      <c r="Z166" s="63">
        <f>($L166+SUM($W166:Y166))*(R$11*R166)</f>
        <v>-4.854429285743082</v>
      </c>
      <c r="AA166" s="63">
        <f>($L166+SUM($W166:Z166))*(S$11*S166)</f>
        <v>-4.78780014763114</v>
      </c>
      <c r="AB166" s="63">
        <f>($L166+SUM($W166:AA166))*(T$11*T166)</f>
        <v>-4.8797922255057555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69"/>
        <v>-23.02957660745007</v>
      </c>
    </row>
    <row r="167" spans="1:31" ht="12.75">
      <c r="A167" s="16">
        <v>4</v>
      </c>
      <c r="B167" s="15">
        <f t="shared" si="153"/>
        <v>41730</v>
      </c>
      <c r="C167" s="243">
        <f t="shared" si="157"/>
        <v>41764</v>
      </c>
      <c r="D167" s="243">
        <f t="shared" si="157"/>
        <v>41779</v>
      </c>
      <c r="E167" s="148" t="s">
        <v>222</v>
      </c>
      <c r="F167" s="3">
        <v>9</v>
      </c>
      <c r="G167" s="362">
        <v>9</v>
      </c>
      <c r="H167" s="247">
        <f t="shared" si="166"/>
        <v>1586.22</v>
      </c>
      <c r="I167" s="247">
        <f t="shared" si="152"/>
        <v>1541.29</v>
      </c>
      <c r="J167" s="56">
        <f t="shared" si="154"/>
        <v>13871.61</v>
      </c>
      <c r="K167" s="57">
        <f t="shared" si="131"/>
        <v>14275.98</v>
      </c>
      <c r="L167" s="58">
        <f aca="true" t="shared" si="170" ref="L167:L177">+J167-K167</f>
        <v>-404.369999999999</v>
      </c>
      <c r="M167" s="55">
        <f t="shared" si="133"/>
        <v>-14.865041097737913</v>
      </c>
      <c r="N167" s="29">
        <f aca="true" t="shared" si="171" ref="N167:N177">SUM(L167:M167)</f>
        <v>-419.2350410977369</v>
      </c>
      <c r="O167" s="16">
        <f t="shared" si="165"/>
        <v>0</v>
      </c>
      <c r="P167" s="16">
        <f t="shared" si="165"/>
        <v>42</v>
      </c>
      <c r="Q167" s="16">
        <f t="shared" si="165"/>
        <v>92</v>
      </c>
      <c r="R167" s="16">
        <f t="shared" si="165"/>
        <v>92</v>
      </c>
      <c r="S167" s="16">
        <f t="shared" si="165"/>
        <v>90</v>
      </c>
      <c r="T167" s="16">
        <f t="shared" si="165"/>
        <v>91</v>
      </c>
      <c r="U167" s="16">
        <f t="shared" si="165"/>
        <v>0</v>
      </c>
      <c r="V167" s="106">
        <f t="shared" si="167"/>
        <v>0</v>
      </c>
      <c r="W167" s="141">
        <f t="shared" si="168"/>
        <v>0</v>
      </c>
      <c r="X167" s="63">
        <f>($L167+SUM($W167:W167))*(P$11*P167)</f>
        <v>-1.5122330136986264</v>
      </c>
      <c r="Y167" s="63">
        <f>($L167+SUM($W167:X167))*(Q$11*Q167)</f>
        <v>-3.3248982923587826</v>
      </c>
      <c r="Z167" s="63">
        <f>($L167+SUM($W167:Y167))*(R$11*R167)</f>
        <v>-3.352135130424955</v>
      </c>
      <c r="AA167" s="63">
        <f>($L167+SUM($W167:Z167))*(S$11*S167)</f>
        <v>-3.30612562829235</v>
      </c>
      <c r="AB167" s="63">
        <f>($L167+SUM($W167:AA167))*(T$11*T167)</f>
        <v>-3.3696490329632005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69"/>
        <v>-14.865041097737913</v>
      </c>
    </row>
    <row r="168" spans="1:31" ht="12.75">
      <c r="A168" s="3">
        <v>5</v>
      </c>
      <c r="B168" s="15">
        <f t="shared" si="153"/>
        <v>41760</v>
      </c>
      <c r="C168" s="243">
        <f t="shared" si="157"/>
        <v>41794</v>
      </c>
      <c r="D168" s="243">
        <f t="shared" si="157"/>
        <v>41809</v>
      </c>
      <c r="E168" s="148" t="s">
        <v>222</v>
      </c>
      <c r="F168" s="3">
        <v>9</v>
      </c>
      <c r="G168" s="362">
        <v>11</v>
      </c>
      <c r="H168" s="247">
        <f t="shared" si="166"/>
        <v>1586.22</v>
      </c>
      <c r="I168" s="247">
        <f t="shared" si="152"/>
        <v>1541.29</v>
      </c>
      <c r="J168" s="56">
        <f t="shared" si="154"/>
        <v>16954.19</v>
      </c>
      <c r="K168" s="57">
        <f t="shared" si="131"/>
        <v>17448.420000000002</v>
      </c>
      <c r="L168" s="58">
        <f t="shared" si="170"/>
        <v>-494.2300000000032</v>
      </c>
      <c r="M168" s="55">
        <f t="shared" si="133"/>
        <v>-16.804747779984908</v>
      </c>
      <c r="N168" s="29">
        <f t="shared" si="171"/>
        <v>-511.0347477799881</v>
      </c>
      <c r="O168" s="16">
        <f t="shared" si="165"/>
        <v>0</v>
      </c>
      <c r="P168" s="16">
        <f t="shared" si="165"/>
        <v>12</v>
      </c>
      <c r="Q168" s="16">
        <f t="shared" si="165"/>
        <v>92</v>
      </c>
      <c r="R168" s="16">
        <f t="shared" si="165"/>
        <v>92</v>
      </c>
      <c r="S168" s="16">
        <f t="shared" si="165"/>
        <v>90</v>
      </c>
      <c r="T168" s="16">
        <f t="shared" si="165"/>
        <v>91</v>
      </c>
      <c r="U168" s="16">
        <f t="shared" si="165"/>
        <v>0</v>
      </c>
      <c r="V168" s="106">
        <f t="shared" si="167"/>
        <v>0</v>
      </c>
      <c r="W168" s="141">
        <f t="shared" si="168"/>
        <v>0</v>
      </c>
      <c r="X168" s="63">
        <f>($L168+SUM($W168:W168))*(P$11*P168)</f>
        <v>-0.5280813698630171</v>
      </c>
      <c r="Y168" s="63">
        <f>($L168+SUM($W168:X168))*(Q$11*Q168)</f>
        <v>-4.05294976245452</v>
      </c>
      <c r="Z168" s="63">
        <f>($L168+SUM($W168:Y168))*(R$11*R168)</f>
        <v>-4.086150638590792</v>
      </c>
      <c r="AA168" s="63">
        <f>($L168+SUM($W168:Z168))*(S$11*S168)</f>
        <v>-4.030066456657305</v>
      </c>
      <c r="AB168" s="63">
        <f>($L168+SUM($W168:AA168))*(T$11*T168)</f>
        <v>-4.107499552419274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69"/>
        <v>-16.804747779984908</v>
      </c>
    </row>
    <row r="169" spans="1:31" ht="12.75">
      <c r="A169" s="3">
        <v>6</v>
      </c>
      <c r="B169" s="15">
        <f t="shared" si="153"/>
        <v>41791</v>
      </c>
      <c r="C169" s="243">
        <f t="shared" si="157"/>
        <v>41823</v>
      </c>
      <c r="D169" s="243">
        <f t="shared" si="157"/>
        <v>41838</v>
      </c>
      <c r="E169" s="148" t="s">
        <v>222</v>
      </c>
      <c r="F169" s="3">
        <v>9</v>
      </c>
      <c r="G169" s="362">
        <v>14</v>
      </c>
      <c r="H169" s="247">
        <f t="shared" si="166"/>
        <v>1586.22</v>
      </c>
      <c r="I169" s="247">
        <f t="shared" si="152"/>
        <v>1541.29</v>
      </c>
      <c r="J169" s="56">
        <f t="shared" si="154"/>
        <v>21578.059999999998</v>
      </c>
      <c r="K169" s="57">
        <f t="shared" si="131"/>
        <v>22207.08</v>
      </c>
      <c r="L169" s="77">
        <f t="shared" si="170"/>
        <v>-629.0200000000041</v>
      </c>
      <c r="M169" s="78">
        <f t="shared" si="133"/>
        <v>-19.718166489933694</v>
      </c>
      <c r="N169" s="76">
        <f t="shared" si="171"/>
        <v>-648.7381664899377</v>
      </c>
      <c r="O169" s="16">
        <f t="shared" si="165"/>
        <v>0</v>
      </c>
      <c r="P169" s="16">
        <f t="shared" si="165"/>
        <v>0</v>
      </c>
      <c r="Q169" s="16">
        <f t="shared" si="165"/>
        <v>75</v>
      </c>
      <c r="R169" s="16">
        <f t="shared" si="165"/>
        <v>92</v>
      </c>
      <c r="S169" s="16">
        <f t="shared" si="165"/>
        <v>90</v>
      </c>
      <c r="T169" s="16">
        <f t="shared" si="165"/>
        <v>91</v>
      </c>
      <c r="U169" s="16">
        <f t="shared" si="165"/>
        <v>0</v>
      </c>
      <c r="V169" s="106">
        <f t="shared" si="167"/>
        <v>0</v>
      </c>
      <c r="W169" s="141">
        <f t="shared" si="168"/>
        <v>0</v>
      </c>
      <c r="X169" s="63">
        <f>($L169+SUM($W169:W169))*(P$11*P169)</f>
        <v>0</v>
      </c>
      <c r="Y169" s="63">
        <f>($L169+SUM($W169:X169))*(Q$11*Q169)</f>
        <v>-4.200647260274</v>
      </c>
      <c r="Z169" s="63">
        <f>($L169+SUM($W169:Y169))*(R$11*R169)</f>
        <v>-5.187204754269127</v>
      </c>
      <c r="AA169" s="63">
        <f>($L169+SUM($W169:Z169))*(S$11*S169)</f>
        <v>-5.116008129157672</v>
      </c>
      <c r="AB169" s="63">
        <f>($L169+SUM($W169:AA169))*(T$11*T169)</f>
        <v>-5.214306346232896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69"/>
        <v>-19.718166489933694</v>
      </c>
    </row>
    <row r="170" spans="1:31" ht="12.75">
      <c r="A170" s="16">
        <v>7</v>
      </c>
      <c r="B170" s="15">
        <f t="shared" si="153"/>
        <v>41821</v>
      </c>
      <c r="C170" s="243">
        <f t="shared" si="157"/>
        <v>41856</v>
      </c>
      <c r="D170" s="243">
        <f t="shared" si="157"/>
        <v>41871</v>
      </c>
      <c r="E170" s="148" t="s">
        <v>222</v>
      </c>
      <c r="F170" s="3">
        <v>9</v>
      </c>
      <c r="G170" s="362">
        <v>9</v>
      </c>
      <c r="H170" s="247">
        <f aca="true" t="shared" si="172" ref="H170:H175">$K$8</f>
        <v>1586.06</v>
      </c>
      <c r="I170" s="247">
        <f t="shared" si="152"/>
        <v>1541.29</v>
      </c>
      <c r="J170" s="56">
        <f t="shared" si="154"/>
        <v>13871.61</v>
      </c>
      <c r="K170" s="74">
        <f t="shared" si="131"/>
        <v>14274.539999999999</v>
      </c>
      <c r="L170" s="77">
        <f t="shared" si="170"/>
        <v>-402.9299999999985</v>
      </c>
      <c r="M170" s="75">
        <f t="shared" si="133"/>
        <v>-11.417858433347051</v>
      </c>
      <c r="N170" s="76">
        <f t="shared" si="171"/>
        <v>-414.34785843334555</v>
      </c>
      <c r="O170" s="16">
        <f t="shared" si="165"/>
        <v>0</v>
      </c>
      <c r="P170" s="16">
        <f t="shared" si="165"/>
        <v>0</v>
      </c>
      <c r="Q170" s="16">
        <f t="shared" si="165"/>
        <v>42</v>
      </c>
      <c r="R170" s="16">
        <f t="shared" si="165"/>
        <v>92</v>
      </c>
      <c r="S170" s="16">
        <f t="shared" si="165"/>
        <v>90</v>
      </c>
      <c r="T170" s="16">
        <f t="shared" si="165"/>
        <v>91</v>
      </c>
      <c r="U170" s="16">
        <f t="shared" si="165"/>
        <v>0</v>
      </c>
      <c r="V170" s="106">
        <f t="shared" si="167"/>
        <v>0</v>
      </c>
      <c r="W170" s="141">
        <f t="shared" si="168"/>
        <v>0</v>
      </c>
      <c r="X170" s="63">
        <f>($L170+SUM($W170:W170))*(P$11*P170)</f>
        <v>0</v>
      </c>
      <c r="Y170" s="63">
        <f>($L170+SUM($W170:X170))*(Q$11*Q170)</f>
        <v>-1.5068478082191723</v>
      </c>
      <c r="Z170" s="63">
        <f>($L170+SUM($W170:Y170))*(R$11*R170)</f>
        <v>-3.313058013552248</v>
      </c>
      <c r="AA170" s="63">
        <f>($L170+SUM($W170:Z170))*(S$11*S170)</f>
        <v>-3.2675848617224026</v>
      </c>
      <c r="AB170" s="63">
        <f>($L170+SUM($W170:AA170))*(T$11*T170)</f>
        <v>-3.3303677498532287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69"/>
        <v>-11.417858433347051</v>
      </c>
    </row>
    <row r="171" spans="1:34" ht="12.75">
      <c r="A171" s="3">
        <v>8</v>
      </c>
      <c r="B171" s="15">
        <f t="shared" si="153"/>
        <v>41852</v>
      </c>
      <c r="C171" s="243">
        <f t="shared" si="157"/>
        <v>41886</v>
      </c>
      <c r="D171" s="243">
        <f t="shared" si="157"/>
        <v>41901</v>
      </c>
      <c r="E171" s="148" t="s">
        <v>222</v>
      </c>
      <c r="F171" s="16">
        <v>9</v>
      </c>
      <c r="G171" s="362">
        <v>15</v>
      </c>
      <c r="H171" s="247">
        <f t="shared" si="172"/>
        <v>1586.06</v>
      </c>
      <c r="I171" s="247">
        <f t="shared" si="152"/>
        <v>1541.29</v>
      </c>
      <c r="J171" s="56">
        <f t="shared" si="154"/>
        <v>23119.35</v>
      </c>
      <c r="K171" s="74">
        <f t="shared" si="131"/>
        <v>23790.899999999998</v>
      </c>
      <c r="L171" s="77">
        <f t="shared" si="170"/>
        <v>-671.5499999999993</v>
      </c>
      <c r="M171" s="75">
        <f t="shared" si="133"/>
        <v>-17.19193765307226</v>
      </c>
      <c r="N171" s="76">
        <f t="shared" si="171"/>
        <v>-688.7419376530715</v>
      </c>
      <c r="O171" s="16">
        <f t="shared" si="165"/>
        <v>0</v>
      </c>
      <c r="P171" s="16">
        <f t="shared" si="165"/>
        <v>0</v>
      </c>
      <c r="Q171" s="16">
        <f t="shared" si="165"/>
        <v>12</v>
      </c>
      <c r="R171" s="16">
        <f t="shared" si="165"/>
        <v>92</v>
      </c>
      <c r="S171" s="16">
        <f t="shared" si="165"/>
        <v>90</v>
      </c>
      <c r="T171" s="16">
        <f t="shared" si="165"/>
        <v>91</v>
      </c>
      <c r="U171" s="16">
        <f t="shared" si="165"/>
        <v>0</v>
      </c>
      <c r="V171" s="106">
        <f t="shared" si="167"/>
        <v>0</v>
      </c>
      <c r="W171" s="141">
        <f t="shared" si="168"/>
        <v>0</v>
      </c>
      <c r="X171" s="63">
        <f>($L171+SUM($W171:W171))*(P$11*P171)</f>
        <v>0</v>
      </c>
      <c r="Y171" s="63">
        <f>($L171+SUM($W171:X171))*(Q$11*Q171)</f>
        <v>-0.717546575342465</v>
      </c>
      <c r="Z171" s="63">
        <f>($L171+SUM($W171:Y171))*(R$11*R171)</f>
        <v>-5.50706839523362</v>
      </c>
      <c r="AA171" s="63">
        <f>($L171+SUM($W171:Z171))*(S$11*S171)</f>
        <v>-5.431481503531323</v>
      </c>
      <c r="AB171" s="63">
        <f>($L171+SUM($W171:AA171))*(T$11*T171)</f>
        <v>-5.5358411789648505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69"/>
        <v>-17.19193765307226</v>
      </c>
      <c r="AF171" s="13"/>
      <c r="AG171" s="13"/>
      <c r="AH171" s="13"/>
    </row>
    <row r="172" spans="1:31" ht="12.75">
      <c r="A172" s="3">
        <v>9</v>
      </c>
      <c r="B172" s="15">
        <f t="shared" si="153"/>
        <v>41883</v>
      </c>
      <c r="C172" s="243">
        <f aca="true" t="shared" si="173" ref="C172:D175">+C160</f>
        <v>41915</v>
      </c>
      <c r="D172" s="243">
        <f t="shared" si="173"/>
        <v>41932</v>
      </c>
      <c r="E172" s="148" t="s">
        <v>222</v>
      </c>
      <c r="F172" s="16">
        <v>9</v>
      </c>
      <c r="G172" s="362">
        <v>15</v>
      </c>
      <c r="H172" s="247">
        <f t="shared" si="172"/>
        <v>1586.06</v>
      </c>
      <c r="I172" s="247">
        <f t="shared" si="152"/>
        <v>1541.29</v>
      </c>
      <c r="J172" s="56">
        <f t="shared" si="154"/>
        <v>23119.35</v>
      </c>
      <c r="K172" s="74">
        <f t="shared" si="131"/>
        <v>23790.899999999998</v>
      </c>
      <c r="L172" s="77">
        <f t="shared" si="170"/>
        <v>-671.5499999999993</v>
      </c>
      <c r="M172" s="75">
        <f t="shared" si="133"/>
        <v>-15.302307775840115</v>
      </c>
      <c r="N172" s="76">
        <f t="shared" si="171"/>
        <v>-686.8523077758393</v>
      </c>
      <c r="O172" s="16">
        <f aca="true" t="shared" si="174" ref="O172:R175">IF($D172&lt;O$8,O$12,IF($D172&lt;P$8,P$8-$D172,0))</f>
        <v>0</v>
      </c>
      <c r="P172" s="16">
        <f t="shared" si="174"/>
        <v>0</v>
      </c>
      <c r="Q172" s="16">
        <f t="shared" si="174"/>
        <v>0</v>
      </c>
      <c r="R172" s="16">
        <f t="shared" si="174"/>
        <v>73</v>
      </c>
      <c r="S172" s="16">
        <f aca="true" t="shared" si="175" ref="S172:U175">IF($D172&lt;S$8,S$12,IF($D172&lt;T$8,T$8-$D172,0))</f>
        <v>90</v>
      </c>
      <c r="T172" s="16">
        <f t="shared" si="175"/>
        <v>91</v>
      </c>
      <c r="U172" s="16">
        <f t="shared" si="175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-4.365074999999995</v>
      </c>
      <c r="AA172" s="63">
        <f>($L172+SUM($W172:Z172))*(S$11*S172)</f>
        <v>-5.416579710616433</v>
      </c>
      <c r="AB172" s="63">
        <f>($L172+SUM($W172:AA172))*(T$11*T172)</f>
        <v>-5.520653065223687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69"/>
        <v>-15.302307775840115</v>
      </c>
    </row>
    <row r="173" spans="1:31" ht="12.75">
      <c r="A173" s="16">
        <v>10</v>
      </c>
      <c r="B173" s="15">
        <f t="shared" si="153"/>
        <v>41913</v>
      </c>
      <c r="C173" s="243">
        <f t="shared" si="173"/>
        <v>41948</v>
      </c>
      <c r="D173" s="243">
        <f t="shared" si="173"/>
        <v>41963</v>
      </c>
      <c r="E173" s="148" t="s">
        <v>222</v>
      </c>
      <c r="F173" s="16">
        <v>9</v>
      </c>
      <c r="G173" s="362">
        <v>12</v>
      </c>
      <c r="H173" s="247">
        <f t="shared" si="172"/>
        <v>1586.06</v>
      </c>
      <c r="I173" s="247">
        <f t="shared" si="152"/>
        <v>1541.29</v>
      </c>
      <c r="J173" s="56">
        <f t="shared" si="154"/>
        <v>18495.48</v>
      </c>
      <c r="K173" s="74">
        <f t="shared" si="131"/>
        <v>19032.72</v>
      </c>
      <c r="L173" s="77">
        <f t="shared" si="170"/>
        <v>-537.2400000000016</v>
      </c>
      <c r="M173" s="75">
        <f t="shared" si="133"/>
        <v>-10.734920797382895</v>
      </c>
      <c r="N173" s="76">
        <f t="shared" si="171"/>
        <v>-547.9749207973845</v>
      </c>
      <c r="O173" s="16">
        <f t="shared" si="174"/>
        <v>0</v>
      </c>
      <c r="P173" s="16">
        <f t="shared" si="174"/>
        <v>0</v>
      </c>
      <c r="Q173" s="16">
        <f t="shared" si="174"/>
        <v>0</v>
      </c>
      <c r="R173" s="16">
        <f t="shared" si="174"/>
        <v>42</v>
      </c>
      <c r="S173" s="16">
        <f t="shared" si="175"/>
        <v>90</v>
      </c>
      <c r="T173" s="16">
        <f t="shared" si="175"/>
        <v>91</v>
      </c>
      <c r="U173" s="16">
        <f t="shared" si="175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-2.0091304109589103</v>
      </c>
      <c r="AA173" s="63">
        <f>($L173+SUM($W173:Z173))*(S$11*S173)</f>
        <v>-4.3213800176768755</v>
      </c>
      <c r="AB173" s="63">
        <f>($L173+SUM($W173:AA173))*(T$11*T173)</f>
        <v>-4.40441036874711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69"/>
        <v>-10.734920797382895</v>
      </c>
    </row>
    <row r="174" spans="1:31" ht="12.75">
      <c r="A174" s="3">
        <v>11</v>
      </c>
      <c r="B174" s="15">
        <f t="shared" si="153"/>
        <v>41944</v>
      </c>
      <c r="C174" s="243">
        <f t="shared" si="173"/>
        <v>41976</v>
      </c>
      <c r="D174" s="243">
        <f t="shared" si="173"/>
        <v>41991</v>
      </c>
      <c r="E174" s="148" t="s">
        <v>222</v>
      </c>
      <c r="F174" s="16">
        <v>9</v>
      </c>
      <c r="G174" s="362">
        <v>13</v>
      </c>
      <c r="H174" s="247">
        <f t="shared" si="172"/>
        <v>1586.06</v>
      </c>
      <c r="I174" s="247">
        <f t="shared" si="152"/>
        <v>1541.29</v>
      </c>
      <c r="J174" s="56">
        <f t="shared" si="154"/>
        <v>20036.77</v>
      </c>
      <c r="K174" s="74">
        <f t="shared" si="131"/>
        <v>20618.78</v>
      </c>
      <c r="L174" s="77">
        <f t="shared" si="170"/>
        <v>-582.0099999999984</v>
      </c>
      <c r="M174" s="75">
        <f t="shared" si="133"/>
        <v>-10.15497910555914</v>
      </c>
      <c r="N174" s="76">
        <f t="shared" si="171"/>
        <v>-592.1649791055576</v>
      </c>
      <c r="O174" s="16">
        <f t="shared" si="174"/>
        <v>0</v>
      </c>
      <c r="P174" s="16">
        <f t="shared" si="174"/>
        <v>0</v>
      </c>
      <c r="Q174" s="16">
        <f t="shared" si="174"/>
        <v>0</v>
      </c>
      <c r="R174" s="16">
        <f t="shared" si="174"/>
        <v>14</v>
      </c>
      <c r="S174" s="16">
        <f t="shared" si="175"/>
        <v>90</v>
      </c>
      <c r="T174" s="16">
        <f t="shared" si="175"/>
        <v>91</v>
      </c>
      <c r="U174" s="16">
        <f t="shared" si="175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-0.7255193150684912</v>
      </c>
      <c r="AA174" s="63">
        <f>($L174+SUM($W174:Z174))*(S$11*S174)</f>
        <v>-4.669866832867316</v>
      </c>
      <c r="AB174" s="63">
        <f>($L174+SUM($W174:AA174))*(T$11*T174)</f>
        <v>-4.7595929576233305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69"/>
        <v>-10.15497910555914</v>
      </c>
    </row>
    <row r="175" spans="1:31" s="69" customFormat="1" ht="12.75">
      <c r="A175" s="3">
        <v>12</v>
      </c>
      <c r="B175" s="83">
        <f t="shared" si="153"/>
        <v>41974</v>
      </c>
      <c r="C175" s="243">
        <f t="shared" si="173"/>
        <v>42010</v>
      </c>
      <c r="D175" s="243">
        <f t="shared" si="173"/>
        <v>42025</v>
      </c>
      <c r="E175" s="149" t="s">
        <v>222</v>
      </c>
      <c r="F175" s="81">
        <v>9</v>
      </c>
      <c r="G175" s="363">
        <v>6</v>
      </c>
      <c r="H175" s="248">
        <f t="shared" si="172"/>
        <v>1586.06</v>
      </c>
      <c r="I175" s="248">
        <f t="shared" si="152"/>
        <v>1541.29</v>
      </c>
      <c r="J175" s="85">
        <f t="shared" si="154"/>
        <v>9247.74</v>
      </c>
      <c r="K175" s="86">
        <f t="shared" si="131"/>
        <v>9516.36</v>
      </c>
      <c r="L175" s="87">
        <f t="shared" si="170"/>
        <v>-268.6200000000008</v>
      </c>
      <c r="M175" s="88">
        <f t="shared" si="133"/>
        <v>-3.86439950500095</v>
      </c>
      <c r="N175" s="89">
        <f t="shared" si="171"/>
        <v>-272.48439950500176</v>
      </c>
      <c r="O175" s="81">
        <f t="shared" si="174"/>
        <v>0</v>
      </c>
      <c r="P175" s="81">
        <f t="shared" si="174"/>
        <v>0</v>
      </c>
      <c r="Q175" s="81">
        <f t="shared" si="174"/>
        <v>0</v>
      </c>
      <c r="R175" s="81">
        <f t="shared" si="174"/>
        <v>0</v>
      </c>
      <c r="S175" s="81">
        <f t="shared" si="175"/>
        <v>70</v>
      </c>
      <c r="T175" s="81">
        <f t="shared" si="175"/>
        <v>91</v>
      </c>
      <c r="U175" s="81">
        <f t="shared" si="175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-1.6742753424657584</v>
      </c>
      <c r="AB175" s="90">
        <f>($L175+SUM($W175:AA175))*(T$11*T175)</f>
        <v>-2.1901241625351915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69"/>
        <v>-3.86439950500095</v>
      </c>
    </row>
    <row r="176" spans="1:31" ht="12.75">
      <c r="A176" s="16">
        <v>1</v>
      </c>
      <c r="B176" s="15">
        <f t="shared" si="153"/>
        <v>41640</v>
      </c>
      <c r="C176" s="242">
        <f aca="true" t="shared" si="176" ref="C176:D187">+C152</f>
        <v>41675</v>
      </c>
      <c r="D176" s="242">
        <f t="shared" si="176"/>
        <v>41690</v>
      </c>
      <c r="E176" s="117" t="s">
        <v>223</v>
      </c>
      <c r="F176" s="3">
        <v>9</v>
      </c>
      <c r="G176" s="362">
        <v>19</v>
      </c>
      <c r="H176" s="247">
        <f aca="true" t="shared" si="177" ref="H176:H181">$K$3</f>
        <v>1586.22</v>
      </c>
      <c r="I176" s="247">
        <f t="shared" si="152"/>
        <v>1541.29</v>
      </c>
      <c r="J176" s="56">
        <f t="shared" si="154"/>
        <v>29284.51</v>
      </c>
      <c r="K176" s="57">
        <f t="shared" si="131"/>
        <v>30138.18</v>
      </c>
      <c r="L176" s="58">
        <f t="shared" si="170"/>
        <v>-853.6700000000019</v>
      </c>
      <c r="M176" s="55">
        <f t="shared" si="133"/>
        <v>-38.39480037353042</v>
      </c>
      <c r="N176" s="29">
        <f t="shared" si="171"/>
        <v>-892.0648003735323</v>
      </c>
      <c r="O176" s="16">
        <f aca="true" t="shared" si="178" ref="O176:Q187">IF($D176&lt;O$8,O$12,IF($D176&lt;P$8,P$8-$D176,0))</f>
        <v>40</v>
      </c>
      <c r="P176" s="16">
        <f t="shared" si="178"/>
        <v>91</v>
      </c>
      <c r="Q176" s="16">
        <f t="shared" si="178"/>
        <v>92</v>
      </c>
      <c r="R176" s="16">
        <f aca="true" t="shared" si="179" ref="R176:U195">IF($D176&lt;R$8,R$12,IF($D176&lt;S$8,S$8-$D176,0))</f>
        <v>92</v>
      </c>
      <c r="S176" s="16">
        <f t="shared" si="179"/>
        <v>90</v>
      </c>
      <c r="T176" s="16">
        <f t="shared" si="179"/>
        <v>91</v>
      </c>
      <c r="U176" s="16">
        <f t="shared" si="179"/>
        <v>0</v>
      </c>
      <c r="V176" s="106">
        <f aca="true" t="shared" si="180" ref="V176:V187">IF(W$8&lt;V$8,0,IF($D176&lt;V$8,V$12,IF($D176&lt;W$8,W$8-$D176,0)))</f>
        <v>0</v>
      </c>
      <c r="W176" s="141">
        <f aca="true" t="shared" si="181" ref="W176:W187">$L176*O$11*O176</f>
        <v>-3.0404684931506916</v>
      </c>
      <c r="X176" s="63">
        <f>($L176+SUM($W176:W176))*(P$11*P176)</f>
        <v>-6.94170194676301</v>
      </c>
      <c r="Y176" s="63">
        <f>($L176+SUM($W176:X176))*(Q$11*Q176)</f>
        <v>-7.07484928661739</v>
      </c>
      <c r="Z176" s="63">
        <f>($L176+SUM($W176:Y176))*(R$11*R176)</f>
        <v>-7.132804901321461</v>
      </c>
      <c r="AA176" s="63">
        <f>($L176+SUM($W176:Z176))*(S$11*S176)</f>
        <v>-7.034904074072531</v>
      </c>
      <c r="AB176" s="63">
        <f>($L176+SUM($W176:AA176))*(T$11*T176)</f>
        <v>-7.170071671605339</v>
      </c>
      <c r="AC176" s="63">
        <f>($L176+SUM($W176:AB176))*(U$11*U176)</f>
        <v>0</v>
      </c>
      <c r="AD176" s="63">
        <f>($L176+SUM($W176:AC176))*(V$11*V176)</f>
        <v>0</v>
      </c>
      <c r="AE176" s="110">
        <f>SUM(W176:AD176)</f>
        <v>-38.39480037353042</v>
      </c>
    </row>
    <row r="177" spans="1:31" ht="12.75">
      <c r="A177" s="3">
        <v>2</v>
      </c>
      <c r="B177" s="15">
        <f t="shared" si="153"/>
        <v>41671</v>
      </c>
      <c r="C177" s="243">
        <f t="shared" si="176"/>
        <v>41703</v>
      </c>
      <c r="D177" s="243">
        <f t="shared" si="176"/>
        <v>41718</v>
      </c>
      <c r="E177" s="30" t="s">
        <v>223</v>
      </c>
      <c r="F177" s="3">
        <v>9</v>
      </c>
      <c r="G177" s="362">
        <v>23</v>
      </c>
      <c r="H177" s="247">
        <f t="shared" si="177"/>
        <v>1586.22</v>
      </c>
      <c r="I177" s="247">
        <f t="shared" si="152"/>
        <v>1541.29</v>
      </c>
      <c r="J177" s="56">
        <f t="shared" si="154"/>
        <v>35449.67</v>
      </c>
      <c r="K177" s="57">
        <f t="shared" si="131"/>
        <v>36483.06</v>
      </c>
      <c r="L177" s="58">
        <f t="shared" si="170"/>
        <v>-1033.3899999999994</v>
      </c>
      <c r="M177" s="55">
        <f t="shared" si="133"/>
        <v>-43.79519769460431</v>
      </c>
      <c r="N177" s="29">
        <f t="shared" si="171"/>
        <v>-1077.1851976946036</v>
      </c>
      <c r="O177" s="16">
        <f t="shared" si="178"/>
        <v>12</v>
      </c>
      <c r="P177" s="16">
        <f t="shared" si="178"/>
        <v>91</v>
      </c>
      <c r="Q177" s="16">
        <f t="shared" si="178"/>
        <v>92</v>
      </c>
      <c r="R177" s="16">
        <f t="shared" si="179"/>
        <v>92</v>
      </c>
      <c r="S177" s="16">
        <f t="shared" si="179"/>
        <v>90</v>
      </c>
      <c r="T177" s="16">
        <f t="shared" si="179"/>
        <v>91</v>
      </c>
      <c r="U177" s="16">
        <f t="shared" si="179"/>
        <v>0</v>
      </c>
      <c r="V177" s="106">
        <f t="shared" si="180"/>
        <v>0</v>
      </c>
      <c r="W177" s="141">
        <f t="shared" si="181"/>
        <v>-1.1041701369863008</v>
      </c>
      <c r="X177" s="63">
        <f>($L177+SUM($W177:W177))*(P$11*P177)</f>
        <v>-8.3822370087127</v>
      </c>
      <c r="Y177" s="63">
        <f>($L177+SUM($W177:X177))*(Q$11*Q177)</f>
        <v>-8.543014951686681</v>
      </c>
      <c r="Z177" s="63">
        <f>($L177+SUM($W177:Y177))*(R$11*R177)</f>
        <v>-8.612997457729263</v>
      </c>
      <c r="AA177" s="63">
        <f>($L177+SUM($W177:Z177))*(S$11*S177)</f>
        <v>-8.494780348489614</v>
      </c>
      <c r="AB177" s="63">
        <f>($L177+SUM($W177:AA177))*(T$11*T177)</f>
        <v>-8.657997790999751</v>
      </c>
      <c r="AC177" s="63">
        <f>($L177+SUM($W177:AB177))*(U$11*U177)</f>
        <v>0</v>
      </c>
      <c r="AD177" s="63">
        <f>($L177+SUM($W177:AC177))*(V$11*V177)</f>
        <v>0</v>
      </c>
      <c r="AE177" s="110">
        <f aca="true" t="shared" si="182" ref="AE177:AE187">SUM(W177:AD177)</f>
        <v>-43.79519769460431</v>
      </c>
    </row>
    <row r="178" spans="1:31" ht="12.75">
      <c r="A178" s="3">
        <v>3</v>
      </c>
      <c r="B178" s="15">
        <f t="shared" si="153"/>
        <v>41699</v>
      </c>
      <c r="C178" s="243">
        <f t="shared" si="176"/>
        <v>41733</v>
      </c>
      <c r="D178" s="243">
        <f t="shared" si="176"/>
        <v>41750</v>
      </c>
      <c r="E178" s="30" t="s">
        <v>223</v>
      </c>
      <c r="F178" s="3">
        <v>9</v>
      </c>
      <c r="G178" s="362">
        <v>22</v>
      </c>
      <c r="H178" s="247">
        <f t="shared" si="177"/>
        <v>1586.22</v>
      </c>
      <c r="I178" s="247">
        <f t="shared" si="152"/>
        <v>1541.29</v>
      </c>
      <c r="J178" s="56">
        <f t="shared" si="154"/>
        <v>33908.38</v>
      </c>
      <c r="K178" s="57">
        <f t="shared" si="131"/>
        <v>34896.840000000004</v>
      </c>
      <c r="L178" s="58">
        <f>+J178-K178</f>
        <v>-988.4600000000064</v>
      </c>
      <c r="M178" s="55">
        <f t="shared" si="133"/>
        <v>-38.97312964337728</v>
      </c>
      <c r="N178" s="29">
        <f>SUM(L178:M178)</f>
        <v>-1027.4331296433836</v>
      </c>
      <c r="O178" s="16">
        <f t="shared" si="178"/>
        <v>0</v>
      </c>
      <c r="P178" s="16">
        <f t="shared" si="178"/>
        <v>71</v>
      </c>
      <c r="Q178" s="16">
        <f t="shared" si="178"/>
        <v>92</v>
      </c>
      <c r="R178" s="16">
        <f t="shared" si="179"/>
        <v>92</v>
      </c>
      <c r="S178" s="16">
        <f t="shared" si="179"/>
        <v>90</v>
      </c>
      <c r="T178" s="16">
        <f t="shared" si="179"/>
        <v>91</v>
      </c>
      <c r="U178" s="16">
        <f t="shared" si="179"/>
        <v>0</v>
      </c>
      <c r="V178" s="106">
        <f t="shared" si="180"/>
        <v>0</v>
      </c>
      <c r="W178" s="141">
        <f t="shared" si="181"/>
        <v>0</v>
      </c>
      <c r="X178" s="63">
        <f>($L178+SUM($W178:W178))*(P$11*P178)</f>
        <v>-6.248962876712369</v>
      </c>
      <c r="Y178" s="63">
        <f>($L178+SUM($W178:X178))*(Q$11*Q178)</f>
        <v>-8.148437805483256</v>
      </c>
      <c r="Z178" s="63">
        <f>($L178+SUM($W178:Y178))*(R$11*R178)</f>
        <v>-8.215188022026805</v>
      </c>
      <c r="AA178" s="63">
        <f>($L178+SUM($W178:Z178))*(S$11*S178)</f>
        <v>-8.102431019068135</v>
      </c>
      <c r="AB178" s="63">
        <f>($L178+SUM($W178:AA178))*(T$11*T178)</f>
        <v>-8.258109920086714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2"/>
        <v>-38.97312964337728</v>
      </c>
    </row>
    <row r="179" spans="1:31" ht="12.75">
      <c r="A179" s="16">
        <v>4</v>
      </c>
      <c r="B179" s="15">
        <f t="shared" si="153"/>
        <v>41730</v>
      </c>
      <c r="C179" s="243">
        <f t="shared" si="176"/>
        <v>41764</v>
      </c>
      <c r="D179" s="243">
        <f t="shared" si="176"/>
        <v>41779</v>
      </c>
      <c r="E179" s="30" t="s">
        <v>223</v>
      </c>
      <c r="F179" s="3">
        <v>9</v>
      </c>
      <c r="G179" s="362">
        <v>22</v>
      </c>
      <c r="H179" s="247">
        <f t="shared" si="177"/>
        <v>1586.22</v>
      </c>
      <c r="I179" s="247">
        <f t="shared" si="152"/>
        <v>1541.29</v>
      </c>
      <c r="J179" s="56">
        <f t="shared" si="154"/>
        <v>33908.38</v>
      </c>
      <c r="K179" s="57">
        <f t="shared" si="131"/>
        <v>34896.840000000004</v>
      </c>
      <c r="L179" s="58">
        <f aca="true" t="shared" si="183" ref="L179:L189">+J179-K179</f>
        <v>-988.4600000000064</v>
      </c>
      <c r="M179" s="55">
        <f t="shared" si="133"/>
        <v>-36.33676712780412</v>
      </c>
      <c r="N179" s="29">
        <f aca="true" t="shared" si="184" ref="N179:N189">SUM(L179:M179)</f>
        <v>-1024.7967671278104</v>
      </c>
      <c r="O179" s="16">
        <f t="shared" si="178"/>
        <v>0</v>
      </c>
      <c r="P179" s="16">
        <f t="shared" si="178"/>
        <v>42</v>
      </c>
      <c r="Q179" s="16">
        <f t="shared" si="178"/>
        <v>92</v>
      </c>
      <c r="R179" s="16">
        <f>IF($D179&lt;R$8,R$12,IF($D179&lt;S$8,S$8-$D179,0))</f>
        <v>92</v>
      </c>
      <c r="S179" s="16">
        <f aca="true" t="shared" si="185" ref="S179:U183">IF($D179&lt;S$8,S$12,IF($D179&lt;T$8,T$8-$D179,0))</f>
        <v>90</v>
      </c>
      <c r="T179" s="16">
        <f t="shared" si="185"/>
        <v>91</v>
      </c>
      <c r="U179" s="16">
        <f t="shared" si="185"/>
        <v>0</v>
      </c>
      <c r="V179" s="106">
        <f>IF(W$8&lt;V$8,0,IF($D179&lt;V$8,V$12,IF($D179&lt;W$8,W$8-$D179,0)))</f>
        <v>0</v>
      </c>
      <c r="W179" s="141">
        <f>$L179*O$11*O179</f>
        <v>0</v>
      </c>
      <c r="X179" s="63">
        <f>($L179+SUM($W179:W179))*(P$11*P179)</f>
        <v>-3.69656958904112</v>
      </c>
      <c r="Y179" s="63">
        <f>($L179+SUM($W179:X179))*(Q$11*Q179)</f>
        <v>-8.12752915909932</v>
      </c>
      <c r="Z179" s="63">
        <f>($L179+SUM($W179:Y179))*(R$11*R179)</f>
        <v>-8.194108096594407</v>
      </c>
      <c r="AA179" s="63">
        <f>($L179+SUM($W179:Z179))*(S$11*S179)</f>
        <v>-8.081640424714706</v>
      </c>
      <c r="AB179" s="63">
        <f>($L179+SUM($W179:AA179))*(T$11*T179)</f>
        <v>-8.236919858354565</v>
      </c>
      <c r="AC179" s="63">
        <f>($L179+SUM($W179:AB179))*(U$11*U179)</f>
        <v>0</v>
      </c>
      <c r="AD179" s="63">
        <f>($L179+SUM($W179:AC179))*(V$11*V179)</f>
        <v>0</v>
      </c>
      <c r="AE179" s="110">
        <f>SUM(W179:AD179)</f>
        <v>-36.33676712780412</v>
      </c>
    </row>
    <row r="180" spans="1:31" ht="12.75">
      <c r="A180" s="3">
        <v>5</v>
      </c>
      <c r="B180" s="15">
        <f t="shared" si="153"/>
        <v>41760</v>
      </c>
      <c r="C180" s="243">
        <f t="shared" si="176"/>
        <v>41794</v>
      </c>
      <c r="D180" s="243">
        <f t="shared" si="176"/>
        <v>41809</v>
      </c>
      <c r="E180" s="30" t="s">
        <v>223</v>
      </c>
      <c r="F180" s="3">
        <v>9</v>
      </c>
      <c r="G180" s="362">
        <v>27</v>
      </c>
      <c r="H180" s="247">
        <f t="shared" si="177"/>
        <v>1586.22</v>
      </c>
      <c r="I180" s="247">
        <f aca="true" t="shared" si="186" ref="I180:I211">$J$3</f>
        <v>1541.29</v>
      </c>
      <c r="J180" s="56">
        <f t="shared" si="154"/>
        <v>41614.83</v>
      </c>
      <c r="K180" s="57">
        <f t="shared" si="131"/>
        <v>42827.94</v>
      </c>
      <c r="L180" s="58">
        <f t="shared" si="183"/>
        <v>-1213.1100000000006</v>
      </c>
      <c r="M180" s="55">
        <f t="shared" si="133"/>
        <v>-41.248017278144516</v>
      </c>
      <c r="N180" s="29">
        <f t="shared" si="184"/>
        <v>-1254.358017278145</v>
      </c>
      <c r="O180" s="16">
        <f t="shared" si="178"/>
        <v>0</v>
      </c>
      <c r="P180" s="16">
        <f t="shared" si="178"/>
        <v>12</v>
      </c>
      <c r="Q180" s="16">
        <f t="shared" si="178"/>
        <v>92</v>
      </c>
      <c r="R180" s="16">
        <f>IF($D180&lt;R$8,R$12,IF($D180&lt;S$8,S$8-$D180,0))</f>
        <v>92</v>
      </c>
      <c r="S180" s="16">
        <f t="shared" si="185"/>
        <v>90</v>
      </c>
      <c r="T180" s="16">
        <f t="shared" si="185"/>
        <v>91</v>
      </c>
      <c r="U180" s="16">
        <f t="shared" si="185"/>
        <v>0</v>
      </c>
      <c r="V180" s="106">
        <f>IF(W$8&lt;V$8,0,IF($D180&lt;V$8,V$12,IF($D180&lt;W$8,W$8-$D180,0)))</f>
        <v>0</v>
      </c>
      <c r="W180" s="141">
        <f>$L180*O$11*O180</f>
        <v>0</v>
      </c>
      <c r="X180" s="63">
        <f>($L180+SUM($W180:W180))*(P$11*P180)</f>
        <v>-1.2961997260273979</v>
      </c>
      <c r="Y180" s="63">
        <f>($L180+SUM($W180:X180))*(Q$11*Q180)</f>
        <v>-9.948149416933763</v>
      </c>
      <c r="Z180" s="63">
        <f>($L180+SUM($W180:Y180))*(R$11*R180)</f>
        <v>-10.029642476540975</v>
      </c>
      <c r="AA180" s="63">
        <f>($L180+SUM($W180:Z180))*(S$11*S180)</f>
        <v>-9.891981302704233</v>
      </c>
      <c r="AB180" s="63">
        <f>($L180+SUM($W180:AA180))*(T$11*T180)</f>
        <v>-10.082044355938155</v>
      </c>
      <c r="AC180" s="63">
        <f>($L180+SUM($W180:AB180))*(U$11*U180)</f>
        <v>0</v>
      </c>
      <c r="AD180" s="63">
        <f>($L180+SUM($W180:AC180))*(V$11*V180)</f>
        <v>0</v>
      </c>
      <c r="AE180" s="110">
        <f>SUM(W180:AD180)</f>
        <v>-41.248017278144516</v>
      </c>
    </row>
    <row r="181" spans="1:31" ht="12.75">
      <c r="A181" s="3">
        <v>6</v>
      </c>
      <c r="B181" s="15">
        <f t="shared" si="153"/>
        <v>41791</v>
      </c>
      <c r="C181" s="243">
        <f t="shared" si="176"/>
        <v>41823</v>
      </c>
      <c r="D181" s="243">
        <f t="shared" si="176"/>
        <v>41838</v>
      </c>
      <c r="E181" s="30" t="s">
        <v>223</v>
      </c>
      <c r="F181" s="3">
        <v>9</v>
      </c>
      <c r="G181" s="362">
        <v>35</v>
      </c>
      <c r="H181" s="247">
        <f t="shared" si="177"/>
        <v>1586.22</v>
      </c>
      <c r="I181" s="247">
        <f t="shared" si="186"/>
        <v>1541.29</v>
      </c>
      <c r="J181" s="56">
        <f t="shared" si="154"/>
        <v>53945.15</v>
      </c>
      <c r="K181" s="57">
        <f t="shared" si="131"/>
        <v>55517.700000000004</v>
      </c>
      <c r="L181" s="77">
        <f t="shared" si="183"/>
        <v>-1572.550000000003</v>
      </c>
      <c r="M181" s="78">
        <f t="shared" si="133"/>
        <v>-49.29541622483401</v>
      </c>
      <c r="N181" s="76">
        <f t="shared" si="184"/>
        <v>-1621.845416224837</v>
      </c>
      <c r="O181" s="16">
        <f t="shared" si="178"/>
        <v>0</v>
      </c>
      <c r="P181" s="16">
        <f t="shared" si="178"/>
        <v>0</v>
      </c>
      <c r="Q181" s="16">
        <f t="shared" si="178"/>
        <v>75</v>
      </c>
      <c r="R181" s="16">
        <f>IF($D181&lt;R$8,R$12,IF($D181&lt;S$8,S$8-$D181,0))</f>
        <v>92</v>
      </c>
      <c r="S181" s="16">
        <f t="shared" si="185"/>
        <v>90</v>
      </c>
      <c r="T181" s="16">
        <f t="shared" si="185"/>
        <v>91</v>
      </c>
      <c r="U181" s="16">
        <f t="shared" si="185"/>
        <v>0</v>
      </c>
      <c r="V181" s="106">
        <f>IF(W$8&lt;V$8,0,IF($D181&lt;V$8,V$12,IF($D181&lt;W$8,W$8-$D181,0)))</f>
        <v>0</v>
      </c>
      <c r="W181" s="141">
        <f>$L181*O$11*O181</f>
        <v>0</v>
      </c>
      <c r="X181" s="63">
        <f>($L181+SUM($W181:W181))*(P$11*P181)</f>
        <v>0</v>
      </c>
      <c r="Y181" s="63">
        <f>($L181+SUM($W181:X181))*(Q$11*Q181)</f>
        <v>-10.501618150684951</v>
      </c>
      <c r="Z181" s="63">
        <f>($L181+SUM($W181:Y181))*(R$11*R181)</f>
        <v>-12.968011885672755</v>
      </c>
      <c r="AA181" s="63">
        <f>($L181+SUM($W181:Z181))*(S$11*S181)</f>
        <v>-12.790020322894122</v>
      </c>
      <c r="AB181" s="63">
        <f>($L181+SUM($W181:AA181))*(T$11*T181)</f>
        <v>-13.03576586558218</v>
      </c>
      <c r="AC181" s="63">
        <f>($L181+SUM($W181:AB181))*(U$11*U181)</f>
        <v>0</v>
      </c>
      <c r="AD181" s="63">
        <f>($L181+SUM($W181:AC181))*(V$11*V181)</f>
        <v>0</v>
      </c>
      <c r="AE181" s="110">
        <f>SUM(W181:AD181)</f>
        <v>-49.29541622483401</v>
      </c>
    </row>
    <row r="182" spans="1:31" ht="12.75">
      <c r="A182" s="16">
        <v>7</v>
      </c>
      <c r="B182" s="15">
        <f t="shared" si="153"/>
        <v>41821</v>
      </c>
      <c r="C182" s="243">
        <f t="shared" si="176"/>
        <v>41856</v>
      </c>
      <c r="D182" s="243">
        <f t="shared" si="176"/>
        <v>41871</v>
      </c>
      <c r="E182" s="30" t="s">
        <v>223</v>
      </c>
      <c r="F182" s="3">
        <v>9</v>
      </c>
      <c r="G182" s="362">
        <v>34</v>
      </c>
      <c r="H182" s="247">
        <f aca="true" t="shared" si="187" ref="H182:H187">$K$8</f>
        <v>1586.06</v>
      </c>
      <c r="I182" s="247">
        <f t="shared" si="186"/>
        <v>1541.29</v>
      </c>
      <c r="J182" s="56">
        <f t="shared" si="154"/>
        <v>52403.86</v>
      </c>
      <c r="K182" s="74">
        <f t="shared" si="131"/>
        <v>53926.04</v>
      </c>
      <c r="L182" s="77">
        <f t="shared" si="183"/>
        <v>-1522.1800000000003</v>
      </c>
      <c r="M182" s="75">
        <f t="shared" si="133"/>
        <v>-43.13413185931125</v>
      </c>
      <c r="N182" s="76">
        <f t="shared" si="184"/>
        <v>-1565.3141318593116</v>
      </c>
      <c r="O182" s="16">
        <f t="shared" si="178"/>
        <v>0</v>
      </c>
      <c r="P182" s="16">
        <f t="shared" si="178"/>
        <v>0</v>
      </c>
      <c r="Q182" s="16">
        <f t="shared" si="178"/>
        <v>42</v>
      </c>
      <c r="R182" s="16">
        <f>IF($D182&lt;R$8,R$12,IF($D182&lt;S$8,S$8-$D182,0))</f>
        <v>92</v>
      </c>
      <c r="S182" s="16">
        <f t="shared" si="185"/>
        <v>90</v>
      </c>
      <c r="T182" s="16">
        <f t="shared" si="185"/>
        <v>91</v>
      </c>
      <c r="U182" s="16">
        <f t="shared" si="185"/>
        <v>0</v>
      </c>
      <c r="V182" s="106">
        <f>IF(W$8&lt;V$8,0,IF($D182&lt;V$8,V$12,IF($D182&lt;W$8,W$8-$D182,0)))</f>
        <v>0</v>
      </c>
      <c r="W182" s="141">
        <f>$L182*O$11*O182</f>
        <v>0</v>
      </c>
      <c r="X182" s="63">
        <f>($L182+SUM($W182:W182))*(P$11*P182)</f>
        <v>0</v>
      </c>
      <c r="Y182" s="63">
        <f>($L182+SUM($W182:X182))*(Q$11*Q182)</f>
        <v>-5.692536164383562</v>
      </c>
      <c r="Z182" s="63">
        <f>($L182+SUM($W182:Y182))*(R$11*R182)</f>
        <v>-12.515996940086321</v>
      </c>
      <c r="AA182" s="63">
        <f>($L182+SUM($W182:Z182))*(S$11*S182)</f>
        <v>-12.344209477618012</v>
      </c>
      <c r="AB182" s="63">
        <f>($L182+SUM($W182:AA182))*(T$11*T182)</f>
        <v>-12.581389277223359</v>
      </c>
      <c r="AC182" s="63">
        <f>($L182+SUM($W182:AB182))*(U$11*U182)</f>
        <v>0</v>
      </c>
      <c r="AD182" s="63">
        <f>($L182+SUM($W182:AC182))*(V$11*V182)</f>
        <v>0</v>
      </c>
      <c r="AE182" s="110">
        <f>SUM(W182:AD182)</f>
        <v>-43.13413185931125</v>
      </c>
    </row>
    <row r="183" spans="1:31" ht="12.75">
      <c r="A183" s="3">
        <v>8</v>
      </c>
      <c r="B183" s="15">
        <f t="shared" si="153"/>
        <v>41852</v>
      </c>
      <c r="C183" s="243">
        <f t="shared" si="176"/>
        <v>41886</v>
      </c>
      <c r="D183" s="243">
        <f t="shared" si="176"/>
        <v>41901</v>
      </c>
      <c r="E183" s="30" t="s">
        <v>223</v>
      </c>
      <c r="F183" s="3">
        <v>9</v>
      </c>
      <c r="G183" s="362">
        <v>40</v>
      </c>
      <c r="H183" s="247">
        <f t="shared" si="187"/>
        <v>1586.06</v>
      </c>
      <c r="I183" s="247">
        <f t="shared" si="186"/>
        <v>1541.29</v>
      </c>
      <c r="J183" s="56">
        <f t="shared" si="154"/>
        <v>61651.6</v>
      </c>
      <c r="K183" s="74">
        <f t="shared" si="131"/>
        <v>63442.399999999994</v>
      </c>
      <c r="L183" s="77">
        <f t="shared" si="183"/>
        <v>-1790.7999999999956</v>
      </c>
      <c r="M183" s="75">
        <f t="shared" si="133"/>
        <v>-45.8451670748593</v>
      </c>
      <c r="N183" s="76">
        <f t="shared" si="184"/>
        <v>-1836.645167074855</v>
      </c>
      <c r="O183" s="16">
        <f t="shared" si="178"/>
        <v>0</v>
      </c>
      <c r="P183" s="16">
        <f t="shared" si="178"/>
        <v>0</v>
      </c>
      <c r="Q183" s="16">
        <f t="shared" si="178"/>
        <v>12</v>
      </c>
      <c r="R183" s="16">
        <f>IF($D183&lt;R$8,R$12,IF($D183&lt;S$8,S$8-$D183,0))</f>
        <v>92</v>
      </c>
      <c r="S183" s="16">
        <f t="shared" si="185"/>
        <v>90</v>
      </c>
      <c r="T183" s="16">
        <f t="shared" si="185"/>
        <v>91</v>
      </c>
      <c r="U183" s="16">
        <f t="shared" si="185"/>
        <v>0</v>
      </c>
      <c r="V183" s="106">
        <f>IF(W$8&lt;V$8,0,IF($D183&lt;V$8,V$12,IF($D183&lt;W$8,W$8-$D183,0)))</f>
        <v>0</v>
      </c>
      <c r="W183" s="141">
        <f>$L183*O$11*O183</f>
        <v>0</v>
      </c>
      <c r="X183" s="63">
        <f>($L183+SUM($W183:W183))*(P$11*P183)</f>
        <v>0</v>
      </c>
      <c r="Y183" s="63">
        <f>($L183+SUM($W183:X183))*(Q$11*Q183)</f>
        <v>-1.9134575342465707</v>
      </c>
      <c r="Z183" s="63">
        <f>($L183+SUM($W183:Y183))*(R$11*R183)</f>
        <v>-14.68551572062297</v>
      </c>
      <c r="AA183" s="63">
        <f>($L183+SUM($W183:Z183))*(S$11*S183)</f>
        <v>-14.483950676083508</v>
      </c>
      <c r="AB183" s="63">
        <f>($L183+SUM($W183:AA183))*(T$11*T183)</f>
        <v>-14.762243143906248</v>
      </c>
      <c r="AC183" s="63">
        <f>($L183+SUM($W183:AB183))*(U$11*U183)</f>
        <v>0</v>
      </c>
      <c r="AD183" s="63">
        <f>($L183+SUM($W183:AC183))*(V$11*V183)</f>
        <v>0</v>
      </c>
      <c r="AE183" s="110">
        <f>SUM(W183:AD183)</f>
        <v>-45.8451670748593</v>
      </c>
    </row>
    <row r="184" spans="1:31" ht="12.75">
      <c r="A184" s="3">
        <v>9</v>
      </c>
      <c r="B184" s="15">
        <f t="shared" si="153"/>
        <v>41883</v>
      </c>
      <c r="C184" s="243">
        <f t="shared" si="176"/>
        <v>41915</v>
      </c>
      <c r="D184" s="243">
        <f t="shared" si="176"/>
        <v>41932</v>
      </c>
      <c r="E184" s="30" t="s">
        <v>223</v>
      </c>
      <c r="F184" s="3">
        <v>9</v>
      </c>
      <c r="G184" s="362">
        <v>37</v>
      </c>
      <c r="H184" s="247">
        <f t="shared" si="187"/>
        <v>1586.06</v>
      </c>
      <c r="I184" s="247">
        <f t="shared" si="186"/>
        <v>1541.29</v>
      </c>
      <c r="J184" s="56">
        <f t="shared" si="154"/>
        <v>57027.729999999996</v>
      </c>
      <c r="K184" s="74">
        <f t="shared" si="131"/>
        <v>58684.22</v>
      </c>
      <c r="L184" s="77">
        <f t="shared" si="183"/>
        <v>-1656.4900000000052</v>
      </c>
      <c r="M184" s="75">
        <f t="shared" si="133"/>
        <v>-37.74569251373911</v>
      </c>
      <c r="N184" s="76">
        <f t="shared" si="184"/>
        <v>-1694.2356925137444</v>
      </c>
      <c r="O184" s="16">
        <f t="shared" si="178"/>
        <v>0</v>
      </c>
      <c r="P184" s="16">
        <f t="shared" si="178"/>
        <v>0</v>
      </c>
      <c r="Q184" s="16">
        <f t="shared" si="178"/>
        <v>0</v>
      </c>
      <c r="R184" s="16">
        <f t="shared" si="179"/>
        <v>73</v>
      </c>
      <c r="S184" s="16">
        <f t="shared" si="179"/>
        <v>90</v>
      </c>
      <c r="T184" s="16">
        <f t="shared" si="179"/>
        <v>91</v>
      </c>
      <c r="U184" s="16">
        <f t="shared" si="179"/>
        <v>0</v>
      </c>
      <c r="V184" s="106">
        <f t="shared" si="180"/>
        <v>0</v>
      </c>
      <c r="W184" s="141">
        <f t="shared" si="181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-10.767185000000033</v>
      </c>
      <c r="AA184" s="63">
        <f>($L184+SUM($W184:Z184))*(S$11*S184)</f>
        <v>-13.360896619520588</v>
      </c>
      <c r="AB184" s="63">
        <f>($L184+SUM($W184:AA184))*(T$11*T184)</f>
        <v>-13.617610894218487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2"/>
        <v>-37.74569251373911</v>
      </c>
    </row>
    <row r="185" spans="1:31" ht="12.75">
      <c r="A185" s="16">
        <v>10</v>
      </c>
      <c r="B185" s="15">
        <f t="shared" si="153"/>
        <v>41913</v>
      </c>
      <c r="C185" s="243">
        <f t="shared" si="176"/>
        <v>41948</v>
      </c>
      <c r="D185" s="243">
        <f t="shared" si="176"/>
        <v>41963</v>
      </c>
      <c r="E185" s="30" t="s">
        <v>223</v>
      </c>
      <c r="F185" s="3">
        <v>9</v>
      </c>
      <c r="G185" s="362">
        <v>29</v>
      </c>
      <c r="H185" s="247">
        <f t="shared" si="187"/>
        <v>1586.06</v>
      </c>
      <c r="I185" s="247">
        <f t="shared" si="186"/>
        <v>1541.29</v>
      </c>
      <c r="J185" s="56">
        <f t="shared" si="154"/>
        <v>44697.409999999996</v>
      </c>
      <c r="K185" s="74">
        <f t="shared" si="131"/>
        <v>45995.74</v>
      </c>
      <c r="L185" s="77">
        <f t="shared" si="183"/>
        <v>-1298.3300000000017</v>
      </c>
      <c r="M185" s="75">
        <f t="shared" si="133"/>
        <v>-25.942725260341955</v>
      </c>
      <c r="N185" s="76">
        <f t="shared" si="184"/>
        <v>-1324.2727252603438</v>
      </c>
      <c r="O185" s="16">
        <f t="shared" si="178"/>
        <v>0</v>
      </c>
      <c r="P185" s="16">
        <f t="shared" si="178"/>
        <v>0</v>
      </c>
      <c r="Q185" s="16">
        <f t="shared" si="178"/>
        <v>0</v>
      </c>
      <c r="R185" s="16">
        <f t="shared" si="179"/>
        <v>42</v>
      </c>
      <c r="S185" s="16">
        <f t="shared" si="179"/>
        <v>90</v>
      </c>
      <c r="T185" s="16">
        <f t="shared" si="179"/>
        <v>91</v>
      </c>
      <c r="U185" s="16">
        <f t="shared" si="179"/>
        <v>0</v>
      </c>
      <c r="V185" s="106">
        <f t="shared" si="180"/>
        <v>0</v>
      </c>
      <c r="W185" s="141">
        <f t="shared" si="181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-4.855398493150692</v>
      </c>
      <c r="AA185" s="63">
        <f>($L185+SUM($W185:Z185))*(S$11*S185)</f>
        <v>-10.443335042719097</v>
      </c>
      <c r="AB185" s="63">
        <f>($L185+SUM($W185:AA185))*(T$11*T185)</f>
        <v>-10.643991724472166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2"/>
        <v>-25.942725260341955</v>
      </c>
    </row>
    <row r="186" spans="1:31" ht="12.75">
      <c r="A186" s="3">
        <v>11</v>
      </c>
      <c r="B186" s="15">
        <f t="shared" si="153"/>
        <v>41944</v>
      </c>
      <c r="C186" s="243">
        <f t="shared" si="176"/>
        <v>41976</v>
      </c>
      <c r="D186" s="243">
        <f t="shared" si="176"/>
        <v>41991</v>
      </c>
      <c r="E186" s="30" t="s">
        <v>223</v>
      </c>
      <c r="F186" s="3">
        <v>9</v>
      </c>
      <c r="G186" s="362">
        <v>22</v>
      </c>
      <c r="H186" s="247">
        <f t="shared" si="187"/>
        <v>1586.06</v>
      </c>
      <c r="I186" s="247">
        <f t="shared" si="186"/>
        <v>1541.29</v>
      </c>
      <c r="J186" s="56">
        <f t="shared" si="154"/>
        <v>33908.38</v>
      </c>
      <c r="K186" s="74">
        <f t="shared" si="131"/>
        <v>34893.32</v>
      </c>
      <c r="L186" s="77">
        <f t="shared" si="183"/>
        <v>-984.9400000000023</v>
      </c>
      <c r="M186" s="75">
        <f t="shared" si="133"/>
        <v>-17.185349255561704</v>
      </c>
      <c r="N186" s="76">
        <f t="shared" si="184"/>
        <v>-1002.1253492555641</v>
      </c>
      <c r="O186" s="16">
        <f t="shared" si="178"/>
        <v>0</v>
      </c>
      <c r="P186" s="16">
        <f t="shared" si="178"/>
        <v>0</v>
      </c>
      <c r="Q186" s="16">
        <f t="shared" si="178"/>
        <v>0</v>
      </c>
      <c r="R186" s="16">
        <f t="shared" si="179"/>
        <v>14</v>
      </c>
      <c r="S186" s="16">
        <f t="shared" si="179"/>
        <v>90</v>
      </c>
      <c r="T186" s="16">
        <f t="shared" si="179"/>
        <v>91</v>
      </c>
      <c r="U186" s="16">
        <f t="shared" si="179"/>
        <v>0</v>
      </c>
      <c r="V186" s="106">
        <f t="shared" si="180"/>
        <v>0</v>
      </c>
      <c r="W186" s="141">
        <f t="shared" si="181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-1.227801917808222</v>
      </c>
      <c r="AA186" s="63">
        <f>($L186+SUM($W186:Z186))*(S$11*S186)</f>
        <v>-7.902851563313961</v>
      </c>
      <c r="AB186" s="63">
        <f>($L186+SUM($W186:AA186))*(T$11*T186)</f>
        <v>-8.054695774439523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2"/>
        <v>-17.185349255561704</v>
      </c>
    </row>
    <row r="187" spans="1:31" s="69" customFormat="1" ht="12.75">
      <c r="A187" s="3">
        <v>12</v>
      </c>
      <c r="B187" s="83">
        <f t="shared" si="153"/>
        <v>41974</v>
      </c>
      <c r="C187" s="243">
        <f t="shared" si="176"/>
        <v>42010</v>
      </c>
      <c r="D187" s="243">
        <f t="shared" si="176"/>
        <v>42025</v>
      </c>
      <c r="E187" s="84" t="s">
        <v>223</v>
      </c>
      <c r="F187" s="81">
        <v>9</v>
      </c>
      <c r="G187" s="363">
        <v>21</v>
      </c>
      <c r="H187" s="248">
        <f t="shared" si="187"/>
        <v>1586.06</v>
      </c>
      <c r="I187" s="248">
        <f t="shared" si="186"/>
        <v>1541.29</v>
      </c>
      <c r="J187" s="85">
        <f t="shared" si="154"/>
        <v>32367.09</v>
      </c>
      <c r="K187" s="86">
        <f t="shared" si="131"/>
        <v>33307.26</v>
      </c>
      <c r="L187" s="87">
        <f t="shared" si="183"/>
        <v>-940.1700000000019</v>
      </c>
      <c r="M187" s="88">
        <f t="shared" si="133"/>
        <v>-13.525398267503311</v>
      </c>
      <c r="N187" s="89">
        <f t="shared" si="184"/>
        <v>-953.6953982675052</v>
      </c>
      <c r="O187" s="81">
        <f t="shared" si="178"/>
        <v>0</v>
      </c>
      <c r="P187" s="81">
        <f t="shared" si="178"/>
        <v>0</v>
      </c>
      <c r="Q187" s="81">
        <f t="shared" si="178"/>
        <v>0</v>
      </c>
      <c r="R187" s="81">
        <f t="shared" si="179"/>
        <v>0</v>
      </c>
      <c r="S187" s="81">
        <f t="shared" si="179"/>
        <v>70</v>
      </c>
      <c r="T187" s="81">
        <f t="shared" si="179"/>
        <v>91</v>
      </c>
      <c r="U187" s="81">
        <f t="shared" si="179"/>
        <v>0</v>
      </c>
      <c r="V187" s="107">
        <f t="shared" si="180"/>
        <v>0</v>
      </c>
      <c r="W187" s="142">
        <f t="shared" si="181"/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-5.859963698630149</v>
      </c>
      <c r="AB187" s="90">
        <f>($L187+SUM($W187:AA187))*(T$11*T187)</f>
        <v>-7.665434568873162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2"/>
        <v>-13.525398267503311</v>
      </c>
    </row>
    <row r="188" spans="1:31" ht="12.75">
      <c r="A188" s="16">
        <v>1</v>
      </c>
      <c r="B188" s="15">
        <f t="shared" si="153"/>
        <v>41640</v>
      </c>
      <c r="C188" s="242">
        <f aca="true" t="shared" si="188" ref="C188:D211">+C176</f>
        <v>41675</v>
      </c>
      <c r="D188" s="242">
        <f t="shared" si="188"/>
        <v>41690</v>
      </c>
      <c r="E188" s="118" t="s">
        <v>224</v>
      </c>
      <c r="F188" s="16">
        <v>9</v>
      </c>
      <c r="G188" s="362">
        <v>49</v>
      </c>
      <c r="H188" s="247">
        <f aca="true" t="shared" si="189" ref="H188:H193">$K$3</f>
        <v>1586.22</v>
      </c>
      <c r="I188" s="247">
        <f t="shared" si="186"/>
        <v>1541.29</v>
      </c>
      <c r="J188" s="56">
        <f t="shared" si="154"/>
        <v>75523.20999999999</v>
      </c>
      <c r="K188" s="57">
        <f t="shared" si="131"/>
        <v>77724.78</v>
      </c>
      <c r="L188" s="58">
        <f t="shared" si="183"/>
        <v>-2201.570000000007</v>
      </c>
      <c r="M188" s="55">
        <f t="shared" si="133"/>
        <v>-99.01816938436804</v>
      </c>
      <c r="N188" s="29">
        <f t="shared" si="184"/>
        <v>-2300.588169384375</v>
      </c>
      <c r="O188" s="16">
        <f aca="true" t="shared" si="190" ref="O188:O211">IF($D188&lt;O$8,O$12,IF($D188&lt;P$8,P$8-$D188,0))</f>
        <v>40</v>
      </c>
      <c r="P188" s="16">
        <f aca="true" t="shared" si="191" ref="P188:P211">IF($D188&lt;P$8,P$12,IF($D188&lt;Q$8,Q$8-$D188,0))</f>
        <v>91</v>
      </c>
      <c r="Q188" s="16">
        <f aca="true" t="shared" si="192" ref="Q188:Q211">IF($D188&lt;Q$8,Q$12,IF($D188&lt;R$8,R$8-$D188,0))</f>
        <v>92</v>
      </c>
      <c r="R188" s="16">
        <f t="shared" si="179"/>
        <v>92</v>
      </c>
      <c r="S188" s="16">
        <f t="shared" si="179"/>
        <v>90</v>
      </c>
      <c r="T188" s="16">
        <f t="shared" si="179"/>
        <v>91</v>
      </c>
      <c r="U188" s="16">
        <f t="shared" si="179"/>
        <v>0</v>
      </c>
      <c r="V188" s="106">
        <f>IF(W$8&lt;V$8,0,IF($D188&lt;V$8,V$12,IF($D188&lt;W$8,W$8-$D188,0)))</f>
        <v>0</v>
      </c>
      <c r="W188" s="141">
        <f>$L188*O$11*O188</f>
        <v>-7.841208219178108</v>
      </c>
      <c r="X188" s="63">
        <f>($L188+SUM($W188:W188))*(P$11*P188)</f>
        <v>-17.90228396796778</v>
      </c>
      <c r="Y188" s="63">
        <f>($L188+SUM($W188:X188))*(Q$11*Q188)</f>
        <v>-18.245663949697498</v>
      </c>
      <c r="Z188" s="63">
        <f>($L188+SUM($W188:Y188))*(R$11*R188)</f>
        <v>-18.395128429723787</v>
      </c>
      <c r="AA188" s="63">
        <f>($L188+SUM($W188:Z188))*(S$11*S188)</f>
        <v>-18.142647348923916</v>
      </c>
      <c r="AB188" s="63">
        <f>($L188+SUM($W188:AA188))*(T$11*T188)</f>
        <v>-18.491237468876946</v>
      </c>
      <c r="AC188" s="63">
        <f>($L188+SUM($W188:AB188))*(U$11*U188)</f>
        <v>0</v>
      </c>
      <c r="AD188" s="63">
        <f>($L188+SUM($W188:AC188))*(V$11*V188)</f>
        <v>0</v>
      </c>
      <c r="AE188" s="110">
        <f aca="true" t="shared" si="193" ref="AE188:AE211">SUM(W188:AD188)</f>
        <v>-99.01816938436804</v>
      </c>
    </row>
    <row r="189" spans="1:31" ht="12.75">
      <c r="A189" s="3">
        <v>2</v>
      </c>
      <c r="B189" s="15">
        <f t="shared" si="153"/>
        <v>41671</v>
      </c>
      <c r="C189" s="243">
        <f t="shared" si="188"/>
        <v>41703</v>
      </c>
      <c r="D189" s="243">
        <f t="shared" si="188"/>
        <v>41718</v>
      </c>
      <c r="E189" s="70" t="s">
        <v>224</v>
      </c>
      <c r="F189" s="3">
        <v>9</v>
      </c>
      <c r="G189" s="362">
        <v>46</v>
      </c>
      <c r="H189" s="247">
        <f t="shared" si="189"/>
        <v>1586.22</v>
      </c>
      <c r="I189" s="247">
        <f t="shared" si="186"/>
        <v>1541.29</v>
      </c>
      <c r="J189" s="56">
        <f t="shared" si="154"/>
        <v>70899.34</v>
      </c>
      <c r="K189" s="57">
        <f t="shared" si="131"/>
        <v>72966.12</v>
      </c>
      <c r="L189" s="58">
        <f t="shared" si="183"/>
        <v>-2066.779999999999</v>
      </c>
      <c r="M189" s="55">
        <f t="shared" si="133"/>
        <v>-87.59039538920862</v>
      </c>
      <c r="N189" s="29">
        <f t="shared" si="184"/>
        <v>-2154.3703953892073</v>
      </c>
      <c r="O189" s="16">
        <f t="shared" si="190"/>
        <v>12</v>
      </c>
      <c r="P189" s="16">
        <f t="shared" si="191"/>
        <v>91</v>
      </c>
      <c r="Q189" s="16">
        <f t="shared" si="192"/>
        <v>92</v>
      </c>
      <c r="R189" s="16">
        <f t="shared" si="179"/>
        <v>92</v>
      </c>
      <c r="S189" s="16">
        <f t="shared" si="179"/>
        <v>90</v>
      </c>
      <c r="T189" s="16">
        <f t="shared" si="179"/>
        <v>91</v>
      </c>
      <c r="U189" s="16">
        <f t="shared" si="179"/>
        <v>0</v>
      </c>
      <c r="V189" s="106">
        <f aca="true" t="shared" si="194" ref="V189:V199">IF(W$8&lt;V$8,0,IF($D189&lt;V$8,V$12,IF($D189&lt;W$8,W$8-$D189,0)))</f>
        <v>0</v>
      </c>
      <c r="W189" s="141">
        <f aca="true" t="shared" si="195" ref="W189:W199">$L189*O$11*O189</f>
        <v>-2.2083402739726017</v>
      </c>
      <c r="X189" s="63">
        <f>($L189+SUM($W189:W189))*(P$11*P189)</f>
        <v>-16.7644740174254</v>
      </c>
      <c r="Y189" s="63">
        <f>($L189+SUM($W189:X189))*(Q$11*Q189)</f>
        <v>-17.086029903373362</v>
      </c>
      <c r="Z189" s="63">
        <f>($L189+SUM($W189:Y189))*(R$11*R189)</f>
        <v>-17.225994915458525</v>
      </c>
      <c r="AA189" s="63">
        <f>($L189+SUM($W189:Z189))*(S$11*S189)</f>
        <v>-16.98956069697923</v>
      </c>
      <c r="AB189" s="63">
        <f>($L189+SUM($W189:AA189))*(T$11*T189)</f>
        <v>-17.315995581999502</v>
      </c>
      <c r="AC189" s="63">
        <f>($L189+SUM($W189:AB189))*(U$11*U189)</f>
        <v>0</v>
      </c>
      <c r="AD189" s="63">
        <f>($L189+SUM($W189:AC189))*(V$11*V189)</f>
        <v>0</v>
      </c>
      <c r="AE189" s="110">
        <f t="shared" si="193"/>
        <v>-87.59039538920862</v>
      </c>
    </row>
    <row r="190" spans="1:31" ht="12.75">
      <c r="A190" s="3">
        <v>3</v>
      </c>
      <c r="B190" s="15">
        <f t="shared" si="153"/>
        <v>41699</v>
      </c>
      <c r="C190" s="243">
        <f t="shared" si="188"/>
        <v>41733</v>
      </c>
      <c r="D190" s="243">
        <f t="shared" si="188"/>
        <v>41750</v>
      </c>
      <c r="E190" s="70" t="s">
        <v>224</v>
      </c>
      <c r="F190" s="3">
        <v>9</v>
      </c>
      <c r="G190" s="362">
        <v>45</v>
      </c>
      <c r="H190" s="247">
        <f t="shared" si="189"/>
        <v>1586.22</v>
      </c>
      <c r="I190" s="247">
        <f t="shared" si="186"/>
        <v>1541.29</v>
      </c>
      <c r="J190" s="56">
        <f t="shared" si="154"/>
        <v>69358.05</v>
      </c>
      <c r="K190" s="57">
        <f t="shared" si="131"/>
        <v>71379.9</v>
      </c>
      <c r="L190" s="58">
        <f>+J190-K190</f>
        <v>-2021.8499999999913</v>
      </c>
      <c r="M190" s="55">
        <f t="shared" si="133"/>
        <v>-79.71776517963448</v>
      </c>
      <c r="N190" s="29">
        <f>SUM(L190:M190)</f>
        <v>-2101.567765179626</v>
      </c>
      <c r="O190" s="16">
        <f t="shared" si="190"/>
        <v>0</v>
      </c>
      <c r="P190" s="16">
        <f t="shared" si="191"/>
        <v>71</v>
      </c>
      <c r="Q190" s="16">
        <f t="shared" si="192"/>
        <v>92</v>
      </c>
      <c r="R190" s="16">
        <f t="shared" si="179"/>
        <v>92</v>
      </c>
      <c r="S190" s="16">
        <f t="shared" si="179"/>
        <v>90</v>
      </c>
      <c r="T190" s="16">
        <f t="shared" si="179"/>
        <v>91</v>
      </c>
      <c r="U190" s="16">
        <f t="shared" si="179"/>
        <v>0</v>
      </c>
      <c r="V190" s="106">
        <f t="shared" si="194"/>
        <v>0</v>
      </c>
      <c r="W190" s="141">
        <f t="shared" si="195"/>
        <v>0</v>
      </c>
      <c r="X190" s="63">
        <f>($L190+SUM($W190:W190))*(P$11*P190)</f>
        <v>-12.78196952054789</v>
      </c>
      <c r="Y190" s="63">
        <f>($L190+SUM($W190:X190))*(Q$11*Q190)</f>
        <v>-16.66725914757921</v>
      </c>
      <c r="Z190" s="63">
        <f>($L190+SUM($W190:Y190))*(R$11*R190)</f>
        <v>-16.80379368141828</v>
      </c>
      <c r="AA190" s="63">
        <f>($L190+SUM($W190:Z190))*(S$11*S190)</f>
        <v>-16.57315435718464</v>
      </c>
      <c r="AB190" s="63">
        <f>($L190+SUM($W190:AA190))*(T$11*T190)</f>
        <v>-16.891588472904463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193"/>
        <v>-79.71776517963448</v>
      </c>
    </row>
    <row r="191" spans="1:31" ht="12.75">
      <c r="A191" s="16">
        <v>4</v>
      </c>
      <c r="B191" s="15">
        <f t="shared" si="153"/>
        <v>41730</v>
      </c>
      <c r="C191" s="243">
        <f t="shared" si="188"/>
        <v>41764</v>
      </c>
      <c r="D191" s="243">
        <f t="shared" si="188"/>
        <v>41779</v>
      </c>
      <c r="E191" s="30" t="s">
        <v>224</v>
      </c>
      <c r="F191" s="3">
        <v>9</v>
      </c>
      <c r="G191" s="362">
        <v>39</v>
      </c>
      <c r="H191" s="247">
        <f t="shared" si="189"/>
        <v>1586.22</v>
      </c>
      <c r="I191" s="247">
        <f t="shared" si="186"/>
        <v>1541.29</v>
      </c>
      <c r="J191" s="56">
        <f t="shared" si="154"/>
        <v>60110.31</v>
      </c>
      <c r="K191" s="57">
        <f t="shared" si="131"/>
        <v>61862.58</v>
      </c>
      <c r="L191" s="58">
        <f aca="true" t="shared" si="196" ref="L191:L201">+J191-K191</f>
        <v>-1752.270000000004</v>
      </c>
      <c r="M191" s="55">
        <f t="shared" si="133"/>
        <v>-64.41517809019794</v>
      </c>
      <c r="N191" s="29">
        <f aca="true" t="shared" si="197" ref="N191:N201">SUM(L191:M191)</f>
        <v>-1816.685178090202</v>
      </c>
      <c r="O191" s="16">
        <f aca="true" t="shared" si="198" ref="O191:U191">IF($D191&lt;O$8,O$12,IF($D191&lt;P$8,P$8-$D191,0))</f>
        <v>0</v>
      </c>
      <c r="P191" s="16">
        <f t="shared" si="198"/>
        <v>42</v>
      </c>
      <c r="Q191" s="16">
        <f t="shared" si="198"/>
        <v>92</v>
      </c>
      <c r="R191" s="16">
        <f t="shared" si="198"/>
        <v>92</v>
      </c>
      <c r="S191" s="16">
        <f t="shared" si="198"/>
        <v>90</v>
      </c>
      <c r="T191" s="16">
        <f t="shared" si="198"/>
        <v>91</v>
      </c>
      <c r="U191" s="16">
        <f t="shared" si="198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-6.553009726027413</v>
      </c>
      <c r="Y191" s="63">
        <f>($L191+SUM($W191:X191))*(Q$11*Q191)</f>
        <v>-14.40789260022146</v>
      </c>
      <c r="Z191" s="63">
        <f>($L191+SUM($W191:Y191))*(R$11*R191)</f>
        <v>-14.525918898508209</v>
      </c>
      <c r="AA191" s="63">
        <f>($L191+SUM($W191:Z191))*(S$11*S191)</f>
        <v>-14.32654438926692</v>
      </c>
      <c r="AB191" s="63">
        <f>($L191+SUM($W191:AA191))*(T$11*T191)</f>
        <v>-14.60181247617394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-64.41517809019794</v>
      </c>
    </row>
    <row r="192" spans="1:31" ht="12.75">
      <c r="A192" s="3">
        <v>5</v>
      </c>
      <c r="B192" s="15">
        <f t="shared" si="153"/>
        <v>41760</v>
      </c>
      <c r="C192" s="243">
        <f t="shared" si="188"/>
        <v>41794</v>
      </c>
      <c r="D192" s="243">
        <f t="shared" si="188"/>
        <v>41809</v>
      </c>
      <c r="E192" s="30" t="s">
        <v>224</v>
      </c>
      <c r="F192" s="3">
        <v>9</v>
      </c>
      <c r="G192" s="362">
        <v>47</v>
      </c>
      <c r="H192" s="247">
        <f t="shared" si="189"/>
        <v>1586.22</v>
      </c>
      <c r="I192" s="247">
        <f t="shared" si="186"/>
        <v>1541.29</v>
      </c>
      <c r="J192" s="56">
        <f t="shared" si="154"/>
        <v>72440.63</v>
      </c>
      <c r="K192" s="57">
        <f t="shared" si="131"/>
        <v>74552.34</v>
      </c>
      <c r="L192" s="58">
        <f t="shared" si="196"/>
        <v>-2111.709999999992</v>
      </c>
      <c r="M192" s="55">
        <f t="shared" si="133"/>
        <v>-71.80210415084386</v>
      </c>
      <c r="N192" s="29">
        <f t="shared" si="197"/>
        <v>-2183.5121041508355</v>
      </c>
      <c r="O192" s="16">
        <f t="shared" si="190"/>
        <v>0</v>
      </c>
      <c r="P192" s="16">
        <f t="shared" si="191"/>
        <v>12</v>
      </c>
      <c r="Q192" s="16">
        <f t="shared" si="192"/>
        <v>92</v>
      </c>
      <c r="R192" s="16">
        <f t="shared" si="179"/>
        <v>92</v>
      </c>
      <c r="S192" s="16">
        <f t="shared" si="179"/>
        <v>90</v>
      </c>
      <c r="T192" s="16">
        <f t="shared" si="179"/>
        <v>91</v>
      </c>
      <c r="U192" s="16">
        <f t="shared" si="179"/>
        <v>0</v>
      </c>
      <c r="V192" s="106">
        <f t="shared" si="194"/>
        <v>0</v>
      </c>
      <c r="W192" s="141">
        <f t="shared" si="195"/>
        <v>0</v>
      </c>
      <c r="X192" s="63">
        <f>($L192+SUM($W192:W192))*(P$11*P192)</f>
        <v>-2.2563476712328683</v>
      </c>
      <c r="Y192" s="63">
        <f>($L192+SUM($W192:X192))*(Q$11*Q192)</f>
        <v>-17.317148985032773</v>
      </c>
      <c r="Z192" s="63">
        <f>($L192+SUM($W192:Y192))*(R$11*R192)</f>
        <v>-17.459007273978653</v>
      </c>
      <c r="AA192" s="63">
        <f>($L192+SUM($W192:Z192))*(S$11*S192)</f>
        <v>-17.21937486026285</v>
      </c>
      <c r="AB192" s="63">
        <f>($L192+SUM($W192:AA192))*(T$11*T192)</f>
        <v>-17.550225360336718</v>
      </c>
      <c r="AC192" s="63">
        <f>($L192+SUM($W192:AB192))*(U$11*U192)</f>
        <v>0</v>
      </c>
      <c r="AD192" s="63">
        <f>($L192+SUM($W192:AC192))*(V$11*V192)</f>
        <v>0</v>
      </c>
      <c r="AE192" s="110">
        <f t="shared" si="193"/>
        <v>-71.80210415084386</v>
      </c>
    </row>
    <row r="193" spans="1:31" ht="12.75">
      <c r="A193" s="3">
        <v>6</v>
      </c>
      <c r="B193" s="15">
        <f t="shared" si="153"/>
        <v>41791</v>
      </c>
      <c r="C193" s="243">
        <f t="shared" si="188"/>
        <v>41823</v>
      </c>
      <c r="D193" s="243">
        <f t="shared" si="188"/>
        <v>41838</v>
      </c>
      <c r="E193" s="30" t="s">
        <v>224</v>
      </c>
      <c r="F193" s="3">
        <v>9</v>
      </c>
      <c r="G193" s="362">
        <v>55</v>
      </c>
      <c r="H193" s="247">
        <f t="shared" si="189"/>
        <v>1586.22</v>
      </c>
      <c r="I193" s="247">
        <f t="shared" si="186"/>
        <v>1541.29</v>
      </c>
      <c r="J193" s="56">
        <f t="shared" si="154"/>
        <v>84770.95</v>
      </c>
      <c r="K193" s="57">
        <f t="shared" si="131"/>
        <v>87242.1</v>
      </c>
      <c r="L193" s="77">
        <f t="shared" si="196"/>
        <v>-2471.1500000000087</v>
      </c>
      <c r="M193" s="78">
        <f t="shared" si="133"/>
        <v>-77.46422549616787</v>
      </c>
      <c r="N193" s="76">
        <f t="shared" si="197"/>
        <v>-2548.6142254961765</v>
      </c>
      <c r="O193" s="16">
        <f t="shared" si="190"/>
        <v>0</v>
      </c>
      <c r="P193" s="16">
        <f t="shared" si="191"/>
        <v>0</v>
      </c>
      <c r="Q193" s="16">
        <f t="shared" si="192"/>
        <v>75</v>
      </c>
      <c r="R193" s="16">
        <f t="shared" si="179"/>
        <v>92</v>
      </c>
      <c r="S193" s="16">
        <f t="shared" si="179"/>
        <v>90</v>
      </c>
      <c r="T193" s="16">
        <f t="shared" si="179"/>
        <v>91</v>
      </c>
      <c r="U193" s="16">
        <f t="shared" si="179"/>
        <v>0</v>
      </c>
      <c r="V193" s="106">
        <f t="shared" si="194"/>
        <v>0</v>
      </c>
      <c r="W193" s="141">
        <f t="shared" si="195"/>
        <v>0</v>
      </c>
      <c r="X193" s="63">
        <f>($L193+SUM($W193:W193))*(P$11*P193)</f>
        <v>0</v>
      </c>
      <c r="Y193" s="63">
        <f>($L193+SUM($W193:X193))*(Q$11*Q193)</f>
        <v>-16.502542808219236</v>
      </c>
      <c r="Z193" s="63">
        <f>($L193+SUM($W193:Y193))*(R$11*R193)</f>
        <v>-20.37830439177151</v>
      </c>
      <c r="AA193" s="63">
        <f>($L193+SUM($W193:Z193))*(S$11*S193)</f>
        <v>-20.09860336454794</v>
      </c>
      <c r="AB193" s="63">
        <f>($L193+SUM($W193:AA193))*(T$11*T193)</f>
        <v>-20.484774931629175</v>
      </c>
      <c r="AC193" s="63">
        <f>($L193+SUM($W193:AB193))*(U$11*U193)</f>
        <v>0</v>
      </c>
      <c r="AD193" s="63">
        <f>($L193+SUM($W193:AC193))*(V$11*V193)</f>
        <v>0</v>
      </c>
      <c r="AE193" s="110">
        <f t="shared" si="193"/>
        <v>-77.46422549616787</v>
      </c>
    </row>
    <row r="194" spans="1:31" ht="12.75">
      <c r="A194" s="16">
        <v>7</v>
      </c>
      <c r="B194" s="15">
        <f t="shared" si="153"/>
        <v>41821</v>
      </c>
      <c r="C194" s="243">
        <f t="shared" si="188"/>
        <v>41856</v>
      </c>
      <c r="D194" s="243">
        <f t="shared" si="188"/>
        <v>41871</v>
      </c>
      <c r="E194" s="30" t="s">
        <v>224</v>
      </c>
      <c r="F194" s="3">
        <v>9</v>
      </c>
      <c r="G194" s="362">
        <v>53</v>
      </c>
      <c r="H194" s="247">
        <f aca="true" t="shared" si="199" ref="H194:H199">$K$8</f>
        <v>1586.06</v>
      </c>
      <c r="I194" s="247">
        <f t="shared" si="186"/>
        <v>1541.29</v>
      </c>
      <c r="J194" s="56">
        <f t="shared" si="154"/>
        <v>81688.37</v>
      </c>
      <c r="K194" s="74">
        <f t="shared" si="131"/>
        <v>84061.18</v>
      </c>
      <c r="L194" s="77">
        <f t="shared" si="196"/>
        <v>-2372.8099999999977</v>
      </c>
      <c r="M194" s="75">
        <f t="shared" si="133"/>
        <v>-67.23849966304394</v>
      </c>
      <c r="N194" s="76">
        <f t="shared" si="197"/>
        <v>-2440.0484996630416</v>
      </c>
      <c r="O194" s="16">
        <f t="shared" si="190"/>
        <v>0</v>
      </c>
      <c r="P194" s="16">
        <f t="shared" si="191"/>
        <v>0</v>
      </c>
      <c r="Q194" s="16">
        <f t="shared" si="192"/>
        <v>42</v>
      </c>
      <c r="R194" s="16">
        <f t="shared" si="179"/>
        <v>92</v>
      </c>
      <c r="S194" s="16">
        <f t="shared" si="179"/>
        <v>90</v>
      </c>
      <c r="T194" s="16">
        <f t="shared" si="179"/>
        <v>91</v>
      </c>
      <c r="U194" s="16">
        <f t="shared" si="179"/>
        <v>0</v>
      </c>
      <c r="V194" s="106">
        <f t="shared" si="194"/>
        <v>0</v>
      </c>
      <c r="W194" s="141">
        <f t="shared" si="195"/>
        <v>0</v>
      </c>
      <c r="X194" s="63">
        <f>($L194+SUM($W194:W194))*(P$11*P194)</f>
        <v>0</v>
      </c>
      <c r="Y194" s="63">
        <f>($L194+SUM($W194:X194))*(Q$11*Q194)</f>
        <v>-8.873659315068485</v>
      </c>
      <c r="Z194" s="63">
        <f>($L194+SUM($W194:Y194))*(R$11*R194)</f>
        <v>-19.510230524252183</v>
      </c>
      <c r="AA194" s="63">
        <f>($L194+SUM($W194:Z194))*(S$11*S194)</f>
        <v>-19.242444185698645</v>
      </c>
      <c r="AB194" s="63">
        <f>($L194+SUM($W194:AA194))*(T$11*T194)</f>
        <v>-19.612165638024624</v>
      </c>
      <c r="AC194" s="63">
        <f>($L194+SUM($W194:AB194))*(U$11*U194)</f>
        <v>0</v>
      </c>
      <c r="AD194" s="63">
        <f>($L194+SUM($W194:AC194))*(V$11*V194)</f>
        <v>0</v>
      </c>
      <c r="AE194" s="110">
        <f t="shared" si="193"/>
        <v>-67.23849966304394</v>
      </c>
    </row>
    <row r="195" spans="1:31" ht="12.75">
      <c r="A195" s="3">
        <v>8</v>
      </c>
      <c r="B195" s="15">
        <f t="shared" si="153"/>
        <v>41852</v>
      </c>
      <c r="C195" s="243">
        <f t="shared" si="188"/>
        <v>41886</v>
      </c>
      <c r="D195" s="243">
        <f t="shared" si="188"/>
        <v>41901</v>
      </c>
      <c r="E195" s="30" t="s">
        <v>224</v>
      </c>
      <c r="F195" s="3">
        <v>9</v>
      </c>
      <c r="G195" s="362">
        <v>58</v>
      </c>
      <c r="H195" s="247">
        <f t="shared" si="199"/>
        <v>1586.06</v>
      </c>
      <c r="I195" s="247">
        <f t="shared" si="186"/>
        <v>1541.29</v>
      </c>
      <c r="J195" s="56">
        <f t="shared" si="154"/>
        <v>89394.81999999999</v>
      </c>
      <c r="K195" s="74">
        <f t="shared" si="131"/>
        <v>91991.48</v>
      </c>
      <c r="L195" s="77">
        <f t="shared" si="196"/>
        <v>-2596.6600000000035</v>
      </c>
      <c r="M195" s="75">
        <f t="shared" si="133"/>
        <v>-66.47549225854623</v>
      </c>
      <c r="N195" s="76">
        <f t="shared" si="197"/>
        <v>-2663.1354922585497</v>
      </c>
      <c r="O195" s="16">
        <f t="shared" si="190"/>
        <v>0</v>
      </c>
      <c r="P195" s="16">
        <f t="shared" si="191"/>
        <v>0</v>
      </c>
      <c r="Q195" s="16">
        <f t="shared" si="192"/>
        <v>12</v>
      </c>
      <c r="R195" s="16">
        <f t="shared" si="179"/>
        <v>92</v>
      </c>
      <c r="S195" s="16">
        <f t="shared" si="179"/>
        <v>90</v>
      </c>
      <c r="T195" s="16">
        <f t="shared" si="179"/>
        <v>91</v>
      </c>
      <c r="U195" s="16">
        <f t="shared" si="179"/>
        <v>0</v>
      </c>
      <c r="V195" s="106">
        <f t="shared" si="194"/>
        <v>0</v>
      </c>
      <c r="W195" s="141">
        <f t="shared" si="195"/>
        <v>0</v>
      </c>
      <c r="X195" s="63">
        <f>($L195+SUM($W195:W195))*(P$11*P195)</f>
        <v>0</v>
      </c>
      <c r="Y195" s="63">
        <f>($L195+SUM($W195:X195))*(Q$11*Q195)</f>
        <v>-2.7745134246575383</v>
      </c>
      <c r="Z195" s="63">
        <f>($L195+SUM($W195:Y195))*(R$11*R195)</f>
        <v>-21.293997794903383</v>
      </c>
      <c r="AA195" s="63">
        <f>($L195+SUM($W195:Z195))*(S$11*S195)</f>
        <v>-21.001728480321166</v>
      </c>
      <c r="AB195" s="63">
        <f>($L195+SUM($W195:AA195))*(T$11*T195)</f>
        <v>-21.40525255866414</v>
      </c>
      <c r="AC195" s="63">
        <f>($L195+SUM($W195:AB195))*(U$11*U195)</f>
        <v>0</v>
      </c>
      <c r="AD195" s="63">
        <f>($L195+SUM($W195:AC195))*(V$11*V195)</f>
        <v>0</v>
      </c>
      <c r="AE195" s="110">
        <f t="shared" si="193"/>
        <v>-66.47549225854623</v>
      </c>
    </row>
    <row r="196" spans="1:31" ht="12.75">
      <c r="A196" s="3">
        <v>9</v>
      </c>
      <c r="B196" s="15">
        <f t="shared" si="153"/>
        <v>41883</v>
      </c>
      <c r="C196" s="243">
        <f t="shared" si="188"/>
        <v>41915</v>
      </c>
      <c r="D196" s="243">
        <f t="shared" si="188"/>
        <v>41932</v>
      </c>
      <c r="E196" s="30" t="s">
        <v>224</v>
      </c>
      <c r="F196" s="3">
        <v>9</v>
      </c>
      <c r="G196" s="362">
        <v>56</v>
      </c>
      <c r="H196" s="247">
        <f t="shared" si="199"/>
        <v>1586.06</v>
      </c>
      <c r="I196" s="247">
        <f t="shared" si="186"/>
        <v>1541.29</v>
      </c>
      <c r="J196" s="56">
        <f t="shared" si="154"/>
        <v>86312.23999999999</v>
      </c>
      <c r="K196" s="74">
        <f t="shared" si="131"/>
        <v>88819.36</v>
      </c>
      <c r="L196" s="77">
        <f t="shared" si="196"/>
        <v>-2507.12000000001</v>
      </c>
      <c r="M196" s="75">
        <f t="shared" si="133"/>
        <v>-57.12861569647005</v>
      </c>
      <c r="N196" s="76">
        <f t="shared" si="197"/>
        <v>-2564.24861569648</v>
      </c>
      <c r="O196" s="16">
        <f t="shared" si="190"/>
        <v>0</v>
      </c>
      <c r="P196" s="16">
        <f t="shared" si="191"/>
        <v>0</v>
      </c>
      <c r="Q196" s="16">
        <f t="shared" si="192"/>
        <v>0</v>
      </c>
      <c r="R196" s="16">
        <f aca="true" t="shared" si="200" ref="R196:R211">IF($D196&lt;R$8,R$12,IF($D196&lt;S$8,S$8-$D196,0))</f>
        <v>73</v>
      </c>
      <c r="S196" s="16">
        <f aca="true" t="shared" si="201" ref="S196:U211">IF($D196&lt;S$8,S$12,IF($D196&lt;T$8,T$8-$D196,0))</f>
        <v>90</v>
      </c>
      <c r="T196" s="16">
        <f t="shared" si="201"/>
        <v>91</v>
      </c>
      <c r="U196" s="16">
        <f t="shared" si="201"/>
        <v>0</v>
      </c>
      <c r="V196" s="106">
        <f t="shared" si="194"/>
        <v>0</v>
      </c>
      <c r="W196" s="141">
        <f t="shared" si="195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-16.296280000000063</v>
      </c>
      <c r="AA196" s="63">
        <f>($L196+SUM($W196:Z196))*(S$11*S196)</f>
        <v>-20.22189758630145</v>
      </c>
      <c r="AB196" s="63">
        <f>($L196+SUM($W196:AA196))*(T$11*T196)</f>
        <v>-20.610438110168538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193"/>
        <v>-57.12861569647005</v>
      </c>
    </row>
    <row r="197" spans="1:31" ht="12.75">
      <c r="A197" s="16">
        <v>10</v>
      </c>
      <c r="B197" s="15">
        <f t="shared" si="153"/>
        <v>41913</v>
      </c>
      <c r="C197" s="243">
        <f t="shared" si="188"/>
        <v>41948</v>
      </c>
      <c r="D197" s="243">
        <f t="shared" si="188"/>
        <v>41963</v>
      </c>
      <c r="E197" s="30" t="s">
        <v>224</v>
      </c>
      <c r="F197" s="3">
        <v>9</v>
      </c>
      <c r="G197" s="362">
        <v>47</v>
      </c>
      <c r="H197" s="247">
        <f t="shared" si="199"/>
        <v>1586.06</v>
      </c>
      <c r="I197" s="247">
        <f t="shared" si="186"/>
        <v>1541.29</v>
      </c>
      <c r="J197" s="56">
        <f t="shared" si="154"/>
        <v>72440.63</v>
      </c>
      <c r="K197" s="74">
        <f t="shared" si="131"/>
        <v>74544.81999999999</v>
      </c>
      <c r="L197" s="77">
        <f t="shared" si="196"/>
        <v>-2104.189999999988</v>
      </c>
      <c r="M197" s="75">
        <f t="shared" si="133"/>
        <v>-42.045106456415965</v>
      </c>
      <c r="N197" s="76">
        <f t="shared" si="197"/>
        <v>-2146.2351064564036</v>
      </c>
      <c r="O197" s="16">
        <f t="shared" si="190"/>
        <v>0</v>
      </c>
      <c r="P197" s="16">
        <f t="shared" si="191"/>
        <v>0</v>
      </c>
      <c r="Q197" s="16">
        <f t="shared" si="192"/>
        <v>0</v>
      </c>
      <c r="R197" s="16">
        <f t="shared" si="200"/>
        <v>42</v>
      </c>
      <c r="S197" s="16">
        <f t="shared" si="201"/>
        <v>90</v>
      </c>
      <c r="T197" s="16">
        <f t="shared" si="201"/>
        <v>91</v>
      </c>
      <c r="U197" s="16">
        <f t="shared" si="201"/>
        <v>0</v>
      </c>
      <c r="V197" s="106">
        <f t="shared" si="194"/>
        <v>0</v>
      </c>
      <c r="W197" s="141">
        <f t="shared" si="195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-7.869094109588995</v>
      </c>
      <c r="AA197" s="63">
        <f>($L197+SUM($W197:Z197))*(S$11*S197)</f>
        <v>-16.925405069234277</v>
      </c>
      <c r="AB197" s="63">
        <f>($L197+SUM($W197:AA197))*(T$11*T197)</f>
        <v>-17.250607277592692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193"/>
        <v>-42.045106456415965</v>
      </c>
    </row>
    <row r="198" spans="1:31" ht="12.75">
      <c r="A198" s="3">
        <v>11</v>
      </c>
      <c r="B198" s="15">
        <f t="shared" si="153"/>
        <v>41944</v>
      </c>
      <c r="C198" s="243">
        <f t="shared" si="188"/>
        <v>41976</v>
      </c>
      <c r="D198" s="243">
        <f t="shared" si="188"/>
        <v>41991</v>
      </c>
      <c r="E198" s="30" t="s">
        <v>224</v>
      </c>
      <c r="F198" s="3">
        <v>9</v>
      </c>
      <c r="G198" s="362">
        <v>43</v>
      </c>
      <c r="H198" s="247">
        <f t="shared" si="199"/>
        <v>1586.06</v>
      </c>
      <c r="I198" s="247">
        <f t="shared" si="186"/>
        <v>1541.29</v>
      </c>
      <c r="J198" s="56">
        <f t="shared" si="154"/>
        <v>66275.47</v>
      </c>
      <c r="K198" s="74">
        <f aca="true" t="shared" si="202" ref="K198:K209">+$G198*H198</f>
        <v>68200.58</v>
      </c>
      <c r="L198" s="77">
        <f t="shared" si="196"/>
        <v>-1925.1100000000006</v>
      </c>
      <c r="M198" s="75">
        <f t="shared" si="133"/>
        <v>-33.58954627223417</v>
      </c>
      <c r="N198" s="76">
        <f t="shared" si="197"/>
        <v>-1958.6995462722348</v>
      </c>
      <c r="O198" s="16">
        <f t="shared" si="190"/>
        <v>0</v>
      </c>
      <c r="P198" s="16">
        <f t="shared" si="191"/>
        <v>0</v>
      </c>
      <c r="Q198" s="16">
        <f t="shared" si="192"/>
        <v>0</v>
      </c>
      <c r="R198" s="16">
        <f t="shared" si="200"/>
        <v>14</v>
      </c>
      <c r="S198" s="16">
        <f t="shared" si="201"/>
        <v>90</v>
      </c>
      <c r="T198" s="16">
        <f t="shared" si="201"/>
        <v>91</v>
      </c>
      <c r="U198" s="16">
        <f t="shared" si="201"/>
        <v>0</v>
      </c>
      <c r="V198" s="106">
        <f t="shared" si="194"/>
        <v>0</v>
      </c>
      <c r="W198" s="141">
        <f t="shared" si="195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-2.3997946575342475</v>
      </c>
      <c r="AA198" s="63">
        <f>($L198+SUM($W198:Z198))*(S$11*S198)</f>
        <v>-15.44648260102271</v>
      </c>
      <c r="AB198" s="63">
        <f>($L198+SUM($W198:AA198))*(T$11*T198)</f>
        <v>-15.743269013677216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193"/>
        <v>-33.58954627223417</v>
      </c>
    </row>
    <row r="199" spans="1:31" s="69" customFormat="1" ht="12.75">
      <c r="A199" s="3">
        <v>12</v>
      </c>
      <c r="B199" s="83">
        <f t="shared" si="153"/>
        <v>41974</v>
      </c>
      <c r="C199" s="243">
        <f t="shared" si="188"/>
        <v>42010</v>
      </c>
      <c r="D199" s="243">
        <f t="shared" si="188"/>
        <v>42025</v>
      </c>
      <c r="E199" s="84" t="s">
        <v>224</v>
      </c>
      <c r="F199" s="81">
        <v>9</v>
      </c>
      <c r="G199" s="363">
        <v>37</v>
      </c>
      <c r="H199" s="248">
        <f t="shared" si="199"/>
        <v>1586.06</v>
      </c>
      <c r="I199" s="248">
        <f t="shared" si="186"/>
        <v>1541.29</v>
      </c>
      <c r="J199" s="85">
        <f t="shared" si="154"/>
        <v>57027.729999999996</v>
      </c>
      <c r="K199" s="86">
        <f t="shared" si="202"/>
        <v>58684.22</v>
      </c>
      <c r="L199" s="87">
        <f t="shared" si="196"/>
        <v>-1656.4900000000052</v>
      </c>
      <c r="M199" s="88">
        <f t="shared" si="133"/>
        <v>-23.83046361417253</v>
      </c>
      <c r="N199" s="89">
        <f t="shared" si="197"/>
        <v>-1680.3204636141777</v>
      </c>
      <c r="O199" s="81">
        <f t="shared" si="190"/>
        <v>0</v>
      </c>
      <c r="P199" s="81">
        <f t="shared" si="191"/>
        <v>0</v>
      </c>
      <c r="Q199" s="81">
        <f t="shared" si="192"/>
        <v>0</v>
      </c>
      <c r="R199" s="81">
        <f t="shared" si="200"/>
        <v>0</v>
      </c>
      <c r="S199" s="81">
        <f t="shared" si="201"/>
        <v>70</v>
      </c>
      <c r="T199" s="81">
        <f t="shared" si="201"/>
        <v>91</v>
      </c>
      <c r="U199" s="81">
        <f t="shared" si="201"/>
        <v>0</v>
      </c>
      <c r="V199" s="107">
        <f t="shared" si="194"/>
        <v>0</v>
      </c>
      <c r="W199" s="142">
        <f t="shared" si="195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-10.324697945205513</v>
      </c>
      <c r="AB199" s="90">
        <f>($L199+SUM($W199:AA199))*(T$11*T199)</f>
        <v>-13.505765668967017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193"/>
        <v>-23.83046361417253</v>
      </c>
    </row>
    <row r="200" spans="1:31" ht="12.75">
      <c r="A200" s="16">
        <v>1</v>
      </c>
      <c r="B200" s="15">
        <f t="shared" si="153"/>
        <v>41640</v>
      </c>
      <c r="C200" s="242">
        <f t="shared" si="188"/>
        <v>41675</v>
      </c>
      <c r="D200" s="242">
        <f t="shared" si="188"/>
        <v>41690</v>
      </c>
      <c r="E200" s="118" t="s">
        <v>142</v>
      </c>
      <c r="F200" s="16">
        <v>9</v>
      </c>
      <c r="G200" s="362">
        <v>112</v>
      </c>
      <c r="H200" s="247">
        <f aca="true" t="shared" si="203" ref="H200:H205">$K$3</f>
        <v>1586.22</v>
      </c>
      <c r="I200" s="247">
        <f t="shared" si="186"/>
        <v>1541.29</v>
      </c>
      <c r="J200" s="56">
        <f t="shared" si="154"/>
        <v>172624.47999999998</v>
      </c>
      <c r="K200" s="57">
        <f t="shared" si="202"/>
        <v>177656.64</v>
      </c>
      <c r="L200" s="58">
        <f t="shared" si="196"/>
        <v>-5032.160000000033</v>
      </c>
      <c r="M200" s="55">
        <f aca="true" t="shared" si="204" ref="M200:M211">+AE200</f>
        <v>-226.32724430712767</v>
      </c>
      <c r="N200" s="29">
        <f t="shared" si="197"/>
        <v>-5258.48724430716</v>
      </c>
      <c r="O200" s="16">
        <f t="shared" si="190"/>
        <v>40</v>
      </c>
      <c r="P200" s="16">
        <f t="shared" si="191"/>
        <v>91</v>
      </c>
      <c r="Q200" s="16">
        <f t="shared" si="192"/>
        <v>92</v>
      </c>
      <c r="R200" s="16">
        <f t="shared" si="200"/>
        <v>92</v>
      </c>
      <c r="S200" s="16">
        <f t="shared" si="201"/>
        <v>90</v>
      </c>
      <c r="T200" s="16">
        <f t="shared" si="201"/>
        <v>91</v>
      </c>
      <c r="U200" s="16">
        <f t="shared" si="201"/>
        <v>0</v>
      </c>
      <c r="V200" s="106">
        <f>IF(W$8&lt;V$8,0,IF($D200&lt;V$8,V$12,IF($D200&lt;W$8,W$8-$D200,0)))</f>
        <v>0</v>
      </c>
      <c r="W200" s="141">
        <f>$L200*O$11*O200</f>
        <v>-17.92276164383573</v>
      </c>
      <c r="X200" s="63">
        <f>($L200+SUM($W200:W200))*(P$11*P200)</f>
        <v>-40.91950621249792</v>
      </c>
      <c r="Y200" s="63">
        <f>($L200+SUM($W200:X200))*(Q$11*Q200)</f>
        <v>-41.70437474216585</v>
      </c>
      <c r="Z200" s="63">
        <f>($L200+SUM($W200:Y200))*(R$11*R200)</f>
        <v>-42.04600783936879</v>
      </c>
      <c r="AA200" s="63">
        <f>($L200+SUM($W200:Z200))*(S$11*S200)</f>
        <v>-41.46890822611194</v>
      </c>
      <c r="AB200" s="63">
        <f>($L200+SUM($W200:AA200))*(T$11*T200)</f>
        <v>-42.26568564314745</v>
      </c>
      <c r="AC200" s="63">
        <f>($L200+SUM($W200:AB200))*(U$11*U200)</f>
        <v>0</v>
      </c>
      <c r="AD200" s="63">
        <f>($L200+SUM($W200:AC200))*(V$11*V200)</f>
        <v>0</v>
      </c>
      <c r="AE200" s="110">
        <f t="shared" si="193"/>
        <v>-226.32724430712767</v>
      </c>
    </row>
    <row r="201" spans="1:31" ht="12.75">
      <c r="A201" s="3">
        <v>2</v>
      </c>
      <c r="B201" s="15">
        <f t="shared" si="153"/>
        <v>41671</v>
      </c>
      <c r="C201" s="243">
        <f t="shared" si="188"/>
        <v>41703</v>
      </c>
      <c r="D201" s="243">
        <f t="shared" si="188"/>
        <v>41718</v>
      </c>
      <c r="E201" s="70" t="s">
        <v>142</v>
      </c>
      <c r="F201" s="3">
        <v>9</v>
      </c>
      <c r="G201" s="362">
        <v>114</v>
      </c>
      <c r="H201" s="247">
        <f t="shared" si="203"/>
        <v>1586.22</v>
      </c>
      <c r="I201" s="247">
        <f t="shared" si="186"/>
        <v>1541.29</v>
      </c>
      <c r="J201" s="56">
        <f t="shared" si="154"/>
        <v>175707.06</v>
      </c>
      <c r="K201" s="57">
        <f t="shared" si="202"/>
        <v>180829.08000000002</v>
      </c>
      <c r="L201" s="58">
        <f t="shared" si="196"/>
        <v>-5122.020000000019</v>
      </c>
      <c r="M201" s="55">
        <f t="shared" si="204"/>
        <v>-217.07184944282224</v>
      </c>
      <c r="N201" s="29">
        <f t="shared" si="197"/>
        <v>-5339.091849442841</v>
      </c>
      <c r="O201" s="16">
        <f aca="true" t="shared" si="205" ref="O201:U201">IF($D201&lt;O$8,O$12,IF($D201&lt;P$8,P$8-$D201,0))</f>
        <v>12</v>
      </c>
      <c r="P201" s="16">
        <f t="shared" si="205"/>
        <v>91</v>
      </c>
      <c r="Q201" s="16">
        <f t="shared" si="205"/>
        <v>92</v>
      </c>
      <c r="R201" s="16">
        <f t="shared" si="205"/>
        <v>92</v>
      </c>
      <c r="S201" s="16">
        <f t="shared" si="205"/>
        <v>90</v>
      </c>
      <c r="T201" s="16">
        <f t="shared" si="205"/>
        <v>91</v>
      </c>
      <c r="U201" s="16">
        <f t="shared" si="205"/>
        <v>0</v>
      </c>
      <c r="V201" s="106">
        <f>IF(W$8&lt;V$8,0,IF($D201&lt;V$8,V$12,IF($D201&lt;W$8,W$8-$D201,0)))</f>
        <v>0</v>
      </c>
      <c r="W201" s="141">
        <f>$L201*O$11*O201</f>
        <v>-5.472843287671253</v>
      </c>
      <c r="X201" s="63">
        <f>($L201+SUM($W201:W201))*(P$11*P201)</f>
        <v>-41.546739956228336</v>
      </c>
      <c r="Y201" s="63">
        <f>($L201+SUM($W201:X201))*(Q$11*Q201)</f>
        <v>-42.343639325751546</v>
      </c>
      <c r="Z201" s="63">
        <f>($L201+SUM($W201:Y201))*(R$11*R201)</f>
        <v>-42.69050913831044</v>
      </c>
      <c r="AA201" s="63">
        <f>($L201+SUM($W201:Z201))*(S$11*S201)</f>
        <v>-42.10456346642696</v>
      </c>
      <c r="AB201" s="63">
        <f>($L201+SUM($W201:AA201))*(T$11*T201)</f>
        <v>-42.91355426843372</v>
      </c>
      <c r="AC201" s="63">
        <f>($L201+SUM($W201:AB201))*(U$11*U201)</f>
        <v>0</v>
      </c>
      <c r="AD201" s="63">
        <f>($L201+SUM($W201:AC201))*(V$11*V201)</f>
        <v>0</v>
      </c>
      <c r="AE201" s="110">
        <f>SUM(W201:AD201)</f>
        <v>-217.07184944282224</v>
      </c>
    </row>
    <row r="202" spans="1:31" ht="12.75">
      <c r="A202" s="3">
        <v>3</v>
      </c>
      <c r="B202" s="15">
        <f t="shared" si="153"/>
        <v>41699</v>
      </c>
      <c r="C202" s="243">
        <f t="shared" si="188"/>
        <v>41733</v>
      </c>
      <c r="D202" s="243">
        <f t="shared" si="188"/>
        <v>41750</v>
      </c>
      <c r="E202" s="70" t="s">
        <v>142</v>
      </c>
      <c r="F202" s="3">
        <v>9</v>
      </c>
      <c r="G202" s="362">
        <v>110</v>
      </c>
      <c r="H202" s="247">
        <f t="shared" si="203"/>
        <v>1586.22</v>
      </c>
      <c r="I202" s="247">
        <f t="shared" si="186"/>
        <v>1541.29</v>
      </c>
      <c r="J202" s="56">
        <f t="shared" si="154"/>
        <v>169541.9</v>
      </c>
      <c r="K202" s="57">
        <f t="shared" si="202"/>
        <v>174484.2</v>
      </c>
      <c r="L202" s="58">
        <f>+J202-K202</f>
        <v>-4942.3000000000175</v>
      </c>
      <c r="M202" s="55">
        <f t="shared" si="204"/>
        <v>-194.86564821688583</v>
      </c>
      <c r="N202" s="29">
        <f>SUM(L202:M202)</f>
        <v>-5137.165648216904</v>
      </c>
      <c r="O202" s="16">
        <f t="shared" si="190"/>
        <v>0</v>
      </c>
      <c r="P202" s="16">
        <f t="shared" si="191"/>
        <v>71</v>
      </c>
      <c r="Q202" s="16">
        <f t="shared" si="192"/>
        <v>92</v>
      </c>
      <c r="R202" s="16">
        <f t="shared" si="200"/>
        <v>92</v>
      </c>
      <c r="S202" s="16">
        <f t="shared" si="201"/>
        <v>90</v>
      </c>
      <c r="T202" s="16">
        <f t="shared" si="201"/>
        <v>91</v>
      </c>
      <c r="U202" s="16">
        <f t="shared" si="201"/>
        <v>0</v>
      </c>
      <c r="V202" s="106">
        <f aca="true" t="shared" si="206" ref="V202:V211">IF(W$8&lt;V$8,0,IF($D202&lt;V$8,V$12,IF($D202&lt;W$8,W$8-$D202,0)))</f>
        <v>0</v>
      </c>
      <c r="W202" s="141">
        <f aca="true" t="shared" si="207" ref="W202:W211">$L202*O$11*O202</f>
        <v>0</v>
      </c>
      <c r="X202" s="63">
        <f>($L202+SUM($W202:W202))*(P$11*P202)</f>
        <v>-31.244814383561753</v>
      </c>
      <c r="Y202" s="63">
        <f>($L202+SUM($W202:X202))*(Q$11*Q202)</f>
        <v>-40.74218902741617</v>
      </c>
      <c r="Z202" s="63">
        <f>($L202+SUM($W202:Y202))*(R$11*R202)</f>
        <v>-41.07594011013391</v>
      </c>
      <c r="AA202" s="63">
        <f>($L202+SUM($W202:Z202))*(S$11*S202)</f>
        <v>-40.51215509534055</v>
      </c>
      <c r="AB202" s="63">
        <f>($L202+SUM($W202:AA202))*(T$11*T202)</f>
        <v>-41.29054960043345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193"/>
        <v>-194.86564821688583</v>
      </c>
    </row>
    <row r="203" spans="1:31" ht="12.75">
      <c r="A203" s="16">
        <v>4</v>
      </c>
      <c r="B203" s="15">
        <f t="shared" si="153"/>
        <v>41730</v>
      </c>
      <c r="C203" s="243">
        <f t="shared" si="188"/>
        <v>41764</v>
      </c>
      <c r="D203" s="243">
        <f t="shared" si="188"/>
        <v>41779</v>
      </c>
      <c r="E203" s="70" t="s">
        <v>142</v>
      </c>
      <c r="F203" s="3">
        <v>9</v>
      </c>
      <c r="G203" s="362">
        <v>108</v>
      </c>
      <c r="H203" s="247">
        <f t="shared" si="203"/>
        <v>1586.22</v>
      </c>
      <c r="I203" s="247">
        <f t="shared" si="186"/>
        <v>1541.29</v>
      </c>
      <c r="J203" s="56">
        <f t="shared" si="154"/>
        <v>166459.32</v>
      </c>
      <c r="K203" s="57">
        <f t="shared" si="202"/>
        <v>171311.76</v>
      </c>
      <c r="L203" s="58">
        <f aca="true" t="shared" si="208" ref="L203:L211">+J203-K203</f>
        <v>-4852.440000000002</v>
      </c>
      <c r="M203" s="55">
        <f t="shared" si="204"/>
        <v>-178.3804931728555</v>
      </c>
      <c r="N203" s="29">
        <f aca="true" t="shared" si="209" ref="N203:N211">SUM(L203:M203)</f>
        <v>-5030.820493172858</v>
      </c>
      <c r="O203" s="16">
        <f t="shared" si="190"/>
        <v>0</v>
      </c>
      <c r="P203" s="16">
        <f t="shared" si="191"/>
        <v>42</v>
      </c>
      <c r="Q203" s="16">
        <f t="shared" si="192"/>
        <v>92</v>
      </c>
      <c r="R203" s="16">
        <f t="shared" si="200"/>
        <v>92</v>
      </c>
      <c r="S203" s="16">
        <f t="shared" si="201"/>
        <v>90</v>
      </c>
      <c r="T203" s="16">
        <f t="shared" si="201"/>
        <v>91</v>
      </c>
      <c r="U203" s="16">
        <f t="shared" si="201"/>
        <v>0</v>
      </c>
      <c r="V203" s="106">
        <f t="shared" si="206"/>
        <v>0</v>
      </c>
      <c r="W203" s="141">
        <f t="shared" si="207"/>
        <v>0</v>
      </c>
      <c r="X203" s="63">
        <f>($L203+SUM($W203:W203))*(P$11*P203)</f>
        <v>-18.14679616438357</v>
      </c>
      <c r="Y203" s="63">
        <f>($L203+SUM($W203:X203))*(Q$11*Q203)</f>
        <v>-39.898779508305516</v>
      </c>
      <c r="Z203" s="63">
        <f>($L203+SUM($W203:Y203))*(R$11*R203)</f>
        <v>-40.22562156509957</v>
      </c>
      <c r="AA203" s="63">
        <f>($L203+SUM($W203:Z203))*(S$11*S203)</f>
        <v>-39.67350753950832</v>
      </c>
      <c r="AB203" s="63">
        <f>($L203+SUM($W203:AA203))*(T$11*T203)</f>
        <v>-40.43578839555853</v>
      </c>
      <c r="AC203" s="63">
        <f>($L203+SUM($W203:AB203))*(U$11*U203)</f>
        <v>0</v>
      </c>
      <c r="AD203" s="63">
        <f>($L203+SUM($W203:AC203))*(V$11*V203)</f>
        <v>0</v>
      </c>
      <c r="AE203" s="110">
        <f t="shared" si="193"/>
        <v>-178.3804931728555</v>
      </c>
    </row>
    <row r="204" spans="1:31" ht="12.75">
      <c r="A204" s="3">
        <v>5</v>
      </c>
      <c r="B204" s="15">
        <f t="shared" si="153"/>
        <v>41760</v>
      </c>
      <c r="C204" s="243">
        <f t="shared" si="188"/>
        <v>41794</v>
      </c>
      <c r="D204" s="243">
        <f t="shared" si="188"/>
        <v>41809</v>
      </c>
      <c r="E204" s="30" t="s">
        <v>142</v>
      </c>
      <c r="F204" s="3">
        <v>9</v>
      </c>
      <c r="G204" s="362">
        <v>116</v>
      </c>
      <c r="H204" s="247">
        <f t="shared" si="203"/>
        <v>1586.22</v>
      </c>
      <c r="I204" s="247">
        <f t="shared" si="186"/>
        <v>1541.29</v>
      </c>
      <c r="J204" s="56">
        <f t="shared" si="154"/>
        <v>178789.63999999998</v>
      </c>
      <c r="K204" s="57">
        <f t="shared" si="202"/>
        <v>184001.52</v>
      </c>
      <c r="L204" s="58">
        <f t="shared" si="208"/>
        <v>-5211.880000000005</v>
      </c>
      <c r="M204" s="55">
        <f t="shared" si="204"/>
        <v>-177.21370386165805</v>
      </c>
      <c r="N204" s="29">
        <f t="shared" si="209"/>
        <v>-5389.093703861663</v>
      </c>
      <c r="O204" s="16">
        <f t="shared" si="190"/>
        <v>0</v>
      </c>
      <c r="P204" s="16">
        <f t="shared" si="191"/>
        <v>12</v>
      </c>
      <c r="Q204" s="16">
        <f t="shared" si="192"/>
        <v>92</v>
      </c>
      <c r="R204" s="16">
        <f t="shared" si="200"/>
        <v>92</v>
      </c>
      <c r="S204" s="16">
        <f t="shared" si="201"/>
        <v>90</v>
      </c>
      <c r="T204" s="16">
        <f t="shared" si="201"/>
        <v>91</v>
      </c>
      <c r="U204" s="16">
        <f t="shared" si="201"/>
        <v>0</v>
      </c>
      <c r="V204" s="106">
        <f t="shared" si="206"/>
        <v>0</v>
      </c>
      <c r="W204" s="141">
        <f t="shared" si="207"/>
        <v>0</v>
      </c>
      <c r="X204" s="63">
        <f>($L204+SUM($W204:W204))*(P$11*P204)</f>
        <v>-5.568858082191786</v>
      </c>
      <c r="Y204" s="63">
        <f>($L204+SUM($W204:X204))*(Q$11*Q204)</f>
        <v>-42.7401974949747</v>
      </c>
      <c r="Z204" s="63">
        <f>($L204+SUM($W204:Y204))*(R$11*R204)</f>
        <v>-43.090315825139015</v>
      </c>
      <c r="AA204" s="63">
        <f>($L204+SUM($W204:Z204))*(S$11*S204)</f>
        <v>-42.498882633840424</v>
      </c>
      <c r="AB204" s="63">
        <f>($L204+SUM($W204:AA204))*(T$11*T204)</f>
        <v>-43.3154498255121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193"/>
        <v>-177.21370386165805</v>
      </c>
    </row>
    <row r="205" spans="1:31" ht="12.75">
      <c r="A205" s="3">
        <v>6</v>
      </c>
      <c r="B205" s="15">
        <f t="shared" si="153"/>
        <v>41791</v>
      </c>
      <c r="C205" s="243">
        <f t="shared" si="188"/>
        <v>41823</v>
      </c>
      <c r="D205" s="243">
        <f t="shared" si="188"/>
        <v>41838</v>
      </c>
      <c r="E205" s="30" t="s">
        <v>142</v>
      </c>
      <c r="F205" s="3">
        <v>9</v>
      </c>
      <c r="G205" s="362">
        <v>104</v>
      </c>
      <c r="H205" s="247">
        <f t="shared" si="203"/>
        <v>1586.22</v>
      </c>
      <c r="I205" s="247">
        <f t="shared" si="186"/>
        <v>1541.29</v>
      </c>
      <c r="J205" s="56">
        <f t="shared" si="154"/>
        <v>160294.16</v>
      </c>
      <c r="K205" s="57">
        <f t="shared" si="202"/>
        <v>164966.88</v>
      </c>
      <c r="L205" s="77">
        <f t="shared" si="208"/>
        <v>-4672.720000000001</v>
      </c>
      <c r="M205" s="78">
        <f t="shared" si="204"/>
        <v>-146.4778082109351</v>
      </c>
      <c r="N205" s="76">
        <f t="shared" si="209"/>
        <v>-4819.197808210936</v>
      </c>
      <c r="O205" s="16">
        <f t="shared" si="190"/>
        <v>0</v>
      </c>
      <c r="P205" s="16">
        <f t="shared" si="191"/>
        <v>0</v>
      </c>
      <c r="Q205" s="16">
        <f t="shared" si="192"/>
        <v>75</v>
      </c>
      <c r="R205" s="16">
        <f t="shared" si="200"/>
        <v>92</v>
      </c>
      <c r="S205" s="16">
        <f t="shared" si="201"/>
        <v>90</v>
      </c>
      <c r="T205" s="16">
        <f t="shared" si="201"/>
        <v>91</v>
      </c>
      <c r="U205" s="16">
        <f t="shared" si="201"/>
        <v>0</v>
      </c>
      <c r="V205" s="106">
        <f t="shared" si="206"/>
        <v>0</v>
      </c>
      <c r="W205" s="141">
        <f t="shared" si="207"/>
        <v>0</v>
      </c>
      <c r="X205" s="63">
        <f>($L205+SUM($W205:W205))*(P$11*P205)</f>
        <v>0</v>
      </c>
      <c r="Y205" s="63">
        <f>($L205+SUM($W205:X205))*(Q$11*Q205)</f>
        <v>-31.20480821917809</v>
      </c>
      <c r="Z205" s="63">
        <f>($L205+SUM($W205:Y205))*(R$11*R205)</f>
        <v>-38.53352103171327</v>
      </c>
      <c r="AA205" s="63">
        <f>($L205+SUM($W205:Z205))*(S$11*S205)</f>
        <v>-38.00463181659961</v>
      </c>
      <c r="AB205" s="63">
        <f>($L205+SUM($W205:AA205))*(T$11*T205)</f>
        <v>-38.73484714344413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193"/>
        <v>-146.4778082109351</v>
      </c>
    </row>
    <row r="206" spans="1:31" ht="12.75">
      <c r="A206" s="16">
        <v>7</v>
      </c>
      <c r="B206" s="15">
        <f t="shared" si="153"/>
        <v>41821</v>
      </c>
      <c r="C206" s="243">
        <f t="shared" si="188"/>
        <v>41856</v>
      </c>
      <c r="D206" s="243">
        <f t="shared" si="188"/>
        <v>41871</v>
      </c>
      <c r="E206" s="30" t="s">
        <v>142</v>
      </c>
      <c r="F206" s="3">
        <v>9</v>
      </c>
      <c r="G206" s="362">
        <v>102</v>
      </c>
      <c r="H206" s="247">
        <f aca="true" t="shared" si="210" ref="H206:H211">$K$8</f>
        <v>1586.06</v>
      </c>
      <c r="I206" s="247">
        <f t="shared" si="186"/>
        <v>1541.29</v>
      </c>
      <c r="J206" s="56">
        <f t="shared" si="154"/>
        <v>157211.58</v>
      </c>
      <c r="K206" s="74">
        <f t="shared" si="202"/>
        <v>161778.12</v>
      </c>
      <c r="L206" s="77">
        <f t="shared" si="208"/>
        <v>-4566.540000000008</v>
      </c>
      <c r="M206" s="75">
        <f t="shared" si="204"/>
        <v>-129.402395577934</v>
      </c>
      <c r="N206" s="76">
        <f t="shared" si="209"/>
        <v>-4695.942395577942</v>
      </c>
      <c r="O206" s="16">
        <f t="shared" si="190"/>
        <v>0</v>
      </c>
      <c r="P206" s="16">
        <f t="shared" si="191"/>
        <v>0</v>
      </c>
      <c r="Q206" s="16">
        <f t="shared" si="192"/>
        <v>42</v>
      </c>
      <c r="R206" s="16">
        <f t="shared" si="200"/>
        <v>92</v>
      </c>
      <c r="S206" s="16">
        <f t="shared" si="201"/>
        <v>90</v>
      </c>
      <c r="T206" s="16">
        <f t="shared" si="201"/>
        <v>91</v>
      </c>
      <c r="U206" s="16">
        <f t="shared" si="201"/>
        <v>0</v>
      </c>
      <c r="V206" s="106">
        <f t="shared" si="206"/>
        <v>0</v>
      </c>
      <c r="W206" s="141">
        <f t="shared" si="207"/>
        <v>0</v>
      </c>
      <c r="X206" s="63">
        <f>($L206+SUM($W206:W206))*(P$11*P206)</f>
        <v>0</v>
      </c>
      <c r="Y206" s="63">
        <f>($L206+SUM($W206:X206))*(Q$11*Q206)</f>
        <v>-17.077608493150716</v>
      </c>
      <c r="Z206" s="63">
        <f>($L206+SUM($W206:Y206))*(R$11*R206)</f>
        <v>-37.547990820259024</v>
      </c>
      <c r="AA206" s="63">
        <f>($L206+SUM($W206:Z206))*(S$11*S206)</f>
        <v>-37.0326284328541</v>
      </c>
      <c r="AB206" s="63">
        <f>($L206+SUM($W206:AA206))*(T$11*T206)</f>
        <v>-37.74416783167014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193"/>
        <v>-129.402395577934</v>
      </c>
    </row>
    <row r="207" spans="1:31" ht="12.75">
      <c r="A207" s="3">
        <v>8</v>
      </c>
      <c r="B207" s="15">
        <f t="shared" si="153"/>
        <v>41852</v>
      </c>
      <c r="C207" s="243">
        <f t="shared" si="188"/>
        <v>41886</v>
      </c>
      <c r="D207" s="243">
        <f t="shared" si="188"/>
        <v>41901</v>
      </c>
      <c r="E207" s="30" t="s">
        <v>142</v>
      </c>
      <c r="F207" s="3">
        <v>9</v>
      </c>
      <c r="G207" s="362">
        <v>64</v>
      </c>
      <c r="H207" s="247">
        <f t="shared" si="210"/>
        <v>1586.06</v>
      </c>
      <c r="I207" s="247">
        <f t="shared" si="186"/>
        <v>1541.29</v>
      </c>
      <c r="J207" s="56">
        <f t="shared" si="154"/>
        <v>98642.56</v>
      </c>
      <c r="K207" s="74">
        <f t="shared" si="202"/>
        <v>101507.84</v>
      </c>
      <c r="L207" s="77">
        <f t="shared" si="208"/>
        <v>-2865.279999999999</v>
      </c>
      <c r="M207" s="75">
        <f t="shared" si="204"/>
        <v>-73.35226731977502</v>
      </c>
      <c r="N207" s="76">
        <f t="shared" si="209"/>
        <v>-2938.6322673197737</v>
      </c>
      <c r="O207" s="16">
        <f t="shared" si="190"/>
        <v>0</v>
      </c>
      <c r="P207" s="16">
        <f t="shared" si="191"/>
        <v>0</v>
      </c>
      <c r="Q207" s="16">
        <f t="shared" si="192"/>
        <v>12</v>
      </c>
      <c r="R207" s="16">
        <f t="shared" si="200"/>
        <v>92</v>
      </c>
      <c r="S207" s="16">
        <f t="shared" si="201"/>
        <v>90</v>
      </c>
      <c r="T207" s="16">
        <f t="shared" si="201"/>
        <v>91</v>
      </c>
      <c r="U207" s="16">
        <f t="shared" si="201"/>
        <v>0</v>
      </c>
      <c r="V207" s="106">
        <f t="shared" si="206"/>
        <v>0</v>
      </c>
      <c r="W207" s="141">
        <f t="shared" si="207"/>
        <v>0</v>
      </c>
      <c r="X207" s="63">
        <f>($L207+SUM($W207:W207))*(P$11*P207)</f>
        <v>0</v>
      </c>
      <c r="Y207" s="63">
        <f>($L207+SUM($W207:X207))*(Q$11*Q207)</f>
        <v>-3.0615320547945193</v>
      </c>
      <c r="Z207" s="63">
        <f>($L207+SUM($W207:Y207))*(R$11*R207)</f>
        <v>-23.4968251529968</v>
      </c>
      <c r="AA207" s="63">
        <f>($L207+SUM($W207:Z207))*(S$11*S207)</f>
        <v>-23.17432108173366</v>
      </c>
      <c r="AB207" s="63">
        <f>($L207+SUM($W207:AA207))*(T$11*T207)</f>
        <v>-23.619589030250044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193"/>
        <v>-73.35226731977502</v>
      </c>
    </row>
    <row r="208" spans="1:31" ht="12.75">
      <c r="A208" s="3">
        <v>9</v>
      </c>
      <c r="B208" s="15">
        <f t="shared" si="153"/>
        <v>41883</v>
      </c>
      <c r="C208" s="243">
        <f t="shared" si="188"/>
        <v>41915</v>
      </c>
      <c r="D208" s="243">
        <f t="shared" si="188"/>
        <v>41932</v>
      </c>
      <c r="E208" s="30" t="s">
        <v>142</v>
      </c>
      <c r="F208" s="3">
        <v>9</v>
      </c>
      <c r="G208" s="362">
        <v>120</v>
      </c>
      <c r="H208" s="247">
        <f t="shared" si="210"/>
        <v>1586.06</v>
      </c>
      <c r="I208" s="247">
        <f t="shared" si="186"/>
        <v>1541.29</v>
      </c>
      <c r="J208" s="56">
        <f t="shared" si="154"/>
        <v>184954.8</v>
      </c>
      <c r="K208" s="74">
        <f t="shared" si="202"/>
        <v>190327.19999999998</v>
      </c>
      <c r="L208" s="77">
        <f t="shared" si="208"/>
        <v>-5372.399999999994</v>
      </c>
      <c r="M208" s="75">
        <f t="shared" si="204"/>
        <v>-122.41846220672092</v>
      </c>
      <c r="N208" s="76">
        <f t="shared" si="209"/>
        <v>-5494.818462206715</v>
      </c>
      <c r="O208" s="16">
        <f t="shared" si="190"/>
        <v>0</v>
      </c>
      <c r="P208" s="16">
        <f t="shared" si="191"/>
        <v>0</v>
      </c>
      <c r="Q208" s="16">
        <f t="shared" si="192"/>
        <v>0</v>
      </c>
      <c r="R208" s="16">
        <f t="shared" si="200"/>
        <v>73</v>
      </c>
      <c r="S208" s="16">
        <f t="shared" si="201"/>
        <v>90</v>
      </c>
      <c r="T208" s="16">
        <f t="shared" si="201"/>
        <v>91</v>
      </c>
      <c r="U208" s="16">
        <f t="shared" si="201"/>
        <v>0</v>
      </c>
      <c r="V208" s="106">
        <f t="shared" si="206"/>
        <v>0</v>
      </c>
      <c r="W208" s="141">
        <f t="shared" si="207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-34.92059999999996</v>
      </c>
      <c r="AA208" s="63">
        <f>($L208+SUM($W208:Z208))*(S$11*S208)</f>
        <v>-43.33263768493146</v>
      </c>
      <c r="AB208" s="63">
        <f>($L208+SUM($W208:AA208))*(T$11*T208)</f>
        <v>-44.1652245217895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193"/>
        <v>-122.41846220672092</v>
      </c>
    </row>
    <row r="209" spans="1:31" ht="12.75">
      <c r="A209" s="16">
        <v>10</v>
      </c>
      <c r="B209" s="15">
        <f t="shared" si="153"/>
        <v>41913</v>
      </c>
      <c r="C209" s="243">
        <f t="shared" si="188"/>
        <v>41948</v>
      </c>
      <c r="D209" s="243">
        <f t="shared" si="188"/>
        <v>41963</v>
      </c>
      <c r="E209" s="30" t="s">
        <v>142</v>
      </c>
      <c r="F209" s="3">
        <v>9</v>
      </c>
      <c r="G209" s="362">
        <v>82</v>
      </c>
      <c r="H209" s="247">
        <f t="shared" si="210"/>
        <v>1586.06</v>
      </c>
      <c r="I209" s="247">
        <f t="shared" si="186"/>
        <v>1541.29</v>
      </c>
      <c r="J209" s="56">
        <f t="shared" si="154"/>
        <v>126385.78</v>
      </c>
      <c r="K209" s="74">
        <f t="shared" si="202"/>
        <v>130056.92</v>
      </c>
      <c r="L209" s="77">
        <f t="shared" si="208"/>
        <v>-3671.1399999999994</v>
      </c>
      <c r="M209" s="75">
        <f t="shared" si="204"/>
        <v>-73.35529211544954</v>
      </c>
      <c r="N209" s="76">
        <f t="shared" si="209"/>
        <v>-3744.495292115449</v>
      </c>
      <c r="O209" s="16">
        <f t="shared" si="190"/>
        <v>0</v>
      </c>
      <c r="P209" s="16">
        <f t="shared" si="191"/>
        <v>0</v>
      </c>
      <c r="Q209" s="16">
        <f t="shared" si="192"/>
        <v>0</v>
      </c>
      <c r="R209" s="16">
        <f t="shared" si="200"/>
        <v>42</v>
      </c>
      <c r="S209" s="16">
        <f t="shared" si="201"/>
        <v>90</v>
      </c>
      <c r="T209" s="16">
        <f t="shared" si="201"/>
        <v>91</v>
      </c>
      <c r="U209" s="16">
        <f t="shared" si="201"/>
        <v>0</v>
      </c>
      <c r="V209" s="106">
        <f t="shared" si="206"/>
        <v>0</v>
      </c>
      <c r="W209" s="141">
        <f t="shared" si="207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-13.729057808219176</v>
      </c>
      <c r="AA209" s="63">
        <f>($L209+SUM($W209:Z209))*(S$11*S209)</f>
        <v>-29.529430120791886</v>
      </c>
      <c r="AB209" s="63">
        <f>($L209+SUM($W209:AA209))*(T$11*T209)</f>
        <v>-30.09680418643849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193"/>
        <v>-73.35529211544954</v>
      </c>
    </row>
    <row r="210" spans="1:31" ht="12.75">
      <c r="A210" s="3">
        <v>11</v>
      </c>
      <c r="B210" s="15">
        <f t="shared" si="153"/>
        <v>41944</v>
      </c>
      <c r="C210" s="243">
        <f t="shared" si="188"/>
        <v>41976</v>
      </c>
      <c r="D210" s="243">
        <f t="shared" si="188"/>
        <v>41991</v>
      </c>
      <c r="E210" s="30" t="s">
        <v>142</v>
      </c>
      <c r="F210" s="3">
        <v>9</v>
      </c>
      <c r="G210" s="362">
        <v>105</v>
      </c>
      <c r="H210" s="247">
        <f t="shared" si="210"/>
        <v>1586.06</v>
      </c>
      <c r="I210" s="247">
        <f t="shared" si="186"/>
        <v>1541.29</v>
      </c>
      <c r="J210" s="56">
        <f t="shared" si="154"/>
        <v>161835.44999999998</v>
      </c>
      <c r="K210" s="74">
        <f>+$G210*H210</f>
        <v>166536.3</v>
      </c>
      <c r="L210" s="77">
        <f t="shared" si="208"/>
        <v>-4700.850000000006</v>
      </c>
      <c r="M210" s="75">
        <f t="shared" si="204"/>
        <v>-82.0209850833626</v>
      </c>
      <c r="N210" s="76">
        <f t="shared" si="209"/>
        <v>-4782.870985083368</v>
      </c>
      <c r="O210" s="16">
        <f t="shared" si="190"/>
        <v>0</v>
      </c>
      <c r="P210" s="16">
        <f t="shared" si="191"/>
        <v>0</v>
      </c>
      <c r="Q210" s="16">
        <f t="shared" si="192"/>
        <v>0</v>
      </c>
      <c r="R210" s="16">
        <f t="shared" si="200"/>
        <v>14</v>
      </c>
      <c r="S210" s="16">
        <f t="shared" si="201"/>
        <v>90</v>
      </c>
      <c r="T210" s="16">
        <f t="shared" si="201"/>
        <v>91</v>
      </c>
      <c r="U210" s="16">
        <f t="shared" si="201"/>
        <v>0</v>
      </c>
      <c r="V210" s="106">
        <f t="shared" si="206"/>
        <v>0</v>
      </c>
      <c r="W210" s="141">
        <f t="shared" si="207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-5.859963698630144</v>
      </c>
      <c r="AA210" s="63">
        <f>($L210+SUM($W210:Z210))*(S$11*S210)</f>
        <v>-37.71815518854386</v>
      </c>
      <c r="AB210" s="63">
        <f>($L210+SUM($W210:AA210))*(T$11*T210)</f>
        <v>-38.44286619618859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193"/>
        <v>-82.0209850833626</v>
      </c>
    </row>
    <row r="211" spans="1:31" s="69" customFormat="1" ht="12.75">
      <c r="A211" s="3">
        <v>12</v>
      </c>
      <c r="B211" s="83">
        <f t="shared" si="153"/>
        <v>41974</v>
      </c>
      <c r="C211" s="264">
        <f t="shared" si="188"/>
        <v>42010</v>
      </c>
      <c r="D211" s="264">
        <f t="shared" si="188"/>
        <v>42025</v>
      </c>
      <c r="E211" s="84" t="s">
        <v>142</v>
      </c>
      <c r="F211" s="81">
        <v>9</v>
      </c>
      <c r="G211" s="363">
        <v>98</v>
      </c>
      <c r="H211" s="248">
        <f t="shared" si="210"/>
        <v>1586.06</v>
      </c>
      <c r="I211" s="248">
        <f t="shared" si="186"/>
        <v>1541.29</v>
      </c>
      <c r="J211" s="85">
        <f t="shared" si="154"/>
        <v>151046.41999999998</v>
      </c>
      <c r="K211" s="86">
        <f>+$G211*H211</f>
        <v>155433.88</v>
      </c>
      <c r="L211" s="87">
        <f t="shared" si="208"/>
        <v>-4387.460000000021</v>
      </c>
      <c r="M211" s="88">
        <f t="shared" si="204"/>
        <v>-63.11852524834896</v>
      </c>
      <c r="N211" s="89">
        <f t="shared" si="209"/>
        <v>-4450.57852524837</v>
      </c>
      <c r="O211" s="81">
        <f t="shared" si="190"/>
        <v>0</v>
      </c>
      <c r="P211" s="81">
        <f t="shared" si="191"/>
        <v>0</v>
      </c>
      <c r="Q211" s="81">
        <f t="shared" si="192"/>
        <v>0</v>
      </c>
      <c r="R211" s="81">
        <f t="shared" si="200"/>
        <v>0</v>
      </c>
      <c r="S211" s="81">
        <f t="shared" si="201"/>
        <v>70</v>
      </c>
      <c r="T211" s="81">
        <f t="shared" si="201"/>
        <v>91</v>
      </c>
      <c r="U211" s="81">
        <f t="shared" si="201"/>
        <v>0</v>
      </c>
      <c r="V211" s="107">
        <f t="shared" si="206"/>
        <v>0</v>
      </c>
      <c r="W211" s="142">
        <f t="shared" si="207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-27.346497260274102</v>
      </c>
      <c r="AB211" s="90">
        <f>($L211+SUM($W211:AA211))*(T$11*T211)</f>
        <v>-35.77202798807486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193"/>
        <v>-63.11852524834896</v>
      </c>
    </row>
    <row r="212" ht="12.75">
      <c r="A212" s="16"/>
    </row>
    <row r="213" ht="12.75">
      <c r="A213" s="3"/>
    </row>
    <row r="214" ht="12.75">
      <c r="A214" s="3"/>
    </row>
    <row r="215" spans="1:7" ht="12.75">
      <c r="A215" s="16"/>
      <c r="G215" s="3">
        <f>SUM(G20:G211)</f>
        <v>99682</v>
      </c>
    </row>
    <row r="216" spans="1:9" ht="12.75">
      <c r="A216" s="3"/>
      <c r="G216" s="3">
        <f>G215/12</f>
        <v>8306.833333333334</v>
      </c>
      <c r="I216" s="344">
        <v>-0.16666666666606034</v>
      </c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5"/>
  <sheetViews>
    <sheetView zoomScalePageLayoutView="0" workbookViewId="0" topLeftCell="A1">
      <pane ySplit="1" topLeftCell="A792" activePane="bottomLeft" state="frozen"/>
      <selection pane="topLeft" activeCell="B48" sqref="B48"/>
      <selection pane="bottomLeft" activeCell="J815" sqref="J815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5" t="s">
        <v>207</v>
      </c>
      <c r="H1" s="44" t="s">
        <v>109</v>
      </c>
      <c r="I1" s="44"/>
      <c r="J1" s="44" t="s">
        <v>110</v>
      </c>
      <c r="K1" s="115" t="s">
        <v>134</v>
      </c>
      <c r="L1" s="114" t="s">
        <v>135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199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200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201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202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203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204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205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206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75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75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75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75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75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75" t="s">
        <v>277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75" t="s">
        <v>278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75" t="s">
        <v>279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75" t="s">
        <v>280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75" t="s">
        <v>281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75" t="s">
        <v>282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75" t="s">
        <v>283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75" t="s">
        <v>284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75" t="s">
        <v>285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75" t="s">
        <v>286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75" t="s">
        <v>287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75" t="s">
        <v>288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75" t="s">
        <v>289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75" t="s">
        <v>290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75" t="s">
        <v>291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75" t="s">
        <v>292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75" t="s">
        <v>293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75" t="s">
        <v>294</v>
      </c>
      <c r="L760" s="3" t="str">
        <f t="shared" si="25"/>
        <v> 3.25</v>
      </c>
      <c r="N760" s="5" t="s">
        <v>123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75" t="s">
        <v>295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75" t="s">
        <v>296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05">AVERAGE(C751:C762)</f>
        <v>0.032499999999999994</v>
      </c>
      <c r="K763" s="275" t="s">
        <v>297</v>
      </c>
      <c r="L763" s="3" t="str">
        <f aca="true" t="shared" si="29" ref="L763:L805">IF(K763=0,L762,RIGHT(K763,5))</f>
        <v> 3.25</v>
      </c>
      <c r="N763" s="5" t="s">
        <v>240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75" t="s">
        <v>298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75" t="s">
        <v>299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75" t="s">
        <v>300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75" t="s">
        <v>301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75" t="s">
        <v>301</v>
      </c>
      <c r="L768" s="3" t="str">
        <f t="shared" si="29"/>
        <v> 3.25</v>
      </c>
    </row>
    <row r="769" spans="1:15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75" t="s">
        <v>302</v>
      </c>
      <c r="L769" s="3" t="str">
        <f t="shared" si="29"/>
        <v> 3.25</v>
      </c>
      <c r="N769" s="244" t="s">
        <v>112</v>
      </c>
      <c r="O769" s="244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75" t="s">
        <v>303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75" t="s">
        <v>304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75" t="s">
        <v>305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33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75" t="s">
        <v>306</v>
      </c>
      <c r="L773" s="3" t="str">
        <f t="shared" si="29"/>
        <v> 3.25</v>
      </c>
      <c r="N773" s="276" t="s">
        <v>238</v>
      </c>
    </row>
    <row r="774" spans="1:14" ht="15">
      <c r="A774" s="45">
        <f t="shared" si="30"/>
        <v>41414</v>
      </c>
      <c r="B774" s="46">
        <v>41414</v>
      </c>
      <c r="C774" s="333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75" t="s">
        <v>307</v>
      </c>
      <c r="L774" s="3" t="str">
        <f t="shared" si="29"/>
        <v> 3.25</v>
      </c>
      <c r="N774" t="s">
        <v>239</v>
      </c>
    </row>
    <row r="775" spans="1:12" ht="15">
      <c r="A775" s="39">
        <f t="shared" si="30"/>
        <v>41445</v>
      </c>
      <c r="B775" s="40">
        <v>41445</v>
      </c>
      <c r="C775" s="333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75" t="s">
        <v>308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33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75" t="s">
        <v>309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33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75" t="s">
        <v>310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33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75" t="s">
        <v>311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33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75" t="s">
        <v>312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33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75" t="s">
        <v>313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33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75" t="s">
        <v>314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33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75" t="s">
        <v>315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33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75" t="s">
        <v>316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33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75" t="s">
        <v>317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23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75" t="s">
        <v>318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23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75" t="s">
        <v>319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23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75" t="s">
        <v>320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34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75" t="s">
        <v>322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34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75" t="s">
        <v>323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34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75" t="s">
        <v>324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34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75" t="s">
        <v>325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34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75" t="s">
        <v>326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34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75" t="s">
        <v>327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75" t="s">
        <v>334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75" t="s">
        <v>335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75" t="s">
        <v>336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75" t="s">
        <v>337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75" t="s">
        <v>338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75" t="s">
        <v>339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75" t="s">
        <v>340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75" t="s">
        <v>341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75" t="s">
        <v>342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75" t="s">
        <v>343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75" t="s">
        <v>344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0.0325</v>
      </c>
      <c r="E805" s="3" t="str">
        <f t="shared" si="31"/>
        <v>4Q2015</v>
      </c>
      <c r="F805" s="49">
        <f>+F804</f>
        <v>0.0325</v>
      </c>
      <c r="H805" s="6">
        <v>42339</v>
      </c>
      <c r="J805" s="116">
        <f t="shared" si="28"/>
        <v>0.032499999999999994</v>
      </c>
      <c r="K805" s="275" t="s">
        <v>345</v>
      </c>
      <c r="L805" s="3" t="str">
        <f t="shared" si="29"/>
        <v> 3.25</v>
      </c>
    </row>
    <row r="806" spans="1:12" ht="15">
      <c r="A806" s="39">
        <f t="shared" si="30"/>
        <v>42389</v>
      </c>
      <c r="B806" s="40">
        <v>42389</v>
      </c>
      <c r="C806" s="65">
        <f t="shared" si="32"/>
        <v>0</v>
      </c>
      <c r="E806" s="3" t="str">
        <f t="shared" si="31"/>
        <v>1Q2016</v>
      </c>
      <c r="F806" s="49">
        <f>IF(COUNTIF(C802:C804,"&gt;0")&lt;3,"N/A",AVERAGE(C802:C804))</f>
        <v>0.0325</v>
      </c>
      <c r="H806" s="6">
        <v>42370</v>
      </c>
      <c r="J806" s="116"/>
      <c r="K806" s="275"/>
      <c r="L806" s="3"/>
    </row>
    <row r="807" spans="1:12" ht="15">
      <c r="A807" s="45">
        <f t="shared" si="30"/>
        <v>42420</v>
      </c>
      <c r="B807" s="46">
        <v>42420</v>
      </c>
      <c r="C807" s="65">
        <f t="shared" si="32"/>
        <v>0</v>
      </c>
      <c r="E807" s="3" t="str">
        <f t="shared" si="31"/>
        <v>1Q2016</v>
      </c>
      <c r="F807" s="49">
        <f>+F806</f>
        <v>0.0325</v>
      </c>
      <c r="H807" s="6">
        <v>42401</v>
      </c>
      <c r="J807" s="116"/>
      <c r="K807" s="275"/>
      <c r="L807" s="3"/>
    </row>
    <row r="808" spans="1:12" ht="15">
      <c r="A808" s="39">
        <f t="shared" si="30"/>
        <v>42449</v>
      </c>
      <c r="B808" s="40">
        <v>42449</v>
      </c>
      <c r="C808" s="65">
        <f t="shared" si="32"/>
        <v>0</v>
      </c>
      <c r="E808" s="3" t="str">
        <f t="shared" si="31"/>
        <v>1Q2016</v>
      </c>
      <c r="F808" s="49">
        <f>+F807</f>
        <v>0.0325</v>
      </c>
      <c r="H808" s="6">
        <v>42430</v>
      </c>
      <c r="J808" s="116"/>
      <c r="K808" s="275"/>
      <c r="L808" s="3"/>
    </row>
    <row r="809" spans="1:12" ht="15">
      <c r="A809" s="39">
        <f t="shared" si="30"/>
        <v>42480</v>
      </c>
      <c r="B809" s="40">
        <v>42480</v>
      </c>
      <c r="C809" s="65">
        <f t="shared" si="32"/>
        <v>0</v>
      </c>
      <c r="E809" s="3" t="str">
        <f t="shared" si="31"/>
        <v>2Q2016</v>
      </c>
      <c r="F809" s="49" t="str">
        <f>IF(COUNTIF(C805:C807,"&gt;0")&lt;3,"N/A",AVERAGE(C805:C807))</f>
        <v>N/A</v>
      </c>
      <c r="H809" s="6">
        <v>42461</v>
      </c>
      <c r="J809" s="116"/>
      <c r="K809" s="275"/>
      <c r="L809" s="3"/>
    </row>
    <row r="810" spans="1:12" ht="15">
      <c r="A810" s="45">
        <f t="shared" si="30"/>
        <v>42510</v>
      </c>
      <c r="B810" s="46">
        <v>42510</v>
      </c>
      <c r="C810" s="65">
        <f t="shared" si="32"/>
        <v>0</v>
      </c>
      <c r="E810" s="3" t="str">
        <f t="shared" si="31"/>
        <v>2Q2016</v>
      </c>
      <c r="F810" s="49" t="str">
        <f>+F809</f>
        <v>N/A</v>
      </c>
      <c r="H810" s="6">
        <v>42491</v>
      </c>
      <c r="J810" s="116"/>
      <c r="K810" s="275"/>
      <c r="L810" s="3"/>
    </row>
    <row r="811" spans="1:12" ht="15">
      <c r="A811" s="39">
        <f t="shared" si="30"/>
        <v>42541</v>
      </c>
      <c r="B811" s="40">
        <v>42541</v>
      </c>
      <c r="C811" s="65">
        <f t="shared" si="32"/>
        <v>0</v>
      </c>
      <c r="E811" s="3" t="str">
        <f t="shared" si="31"/>
        <v>2Q2016</v>
      </c>
      <c r="F811" s="49" t="str">
        <f>+F810</f>
        <v>N/A</v>
      </c>
      <c r="H811" s="6">
        <v>42522</v>
      </c>
      <c r="J811" s="116"/>
      <c r="K811" s="275"/>
      <c r="L811" s="3"/>
    </row>
    <row r="812" spans="1:12" ht="15">
      <c r="A812" s="39">
        <f t="shared" si="30"/>
        <v>42571</v>
      </c>
      <c r="B812" s="40">
        <v>42571</v>
      </c>
      <c r="C812" s="65">
        <f t="shared" si="32"/>
        <v>0</v>
      </c>
      <c r="E812" s="3" t="str">
        <f t="shared" si="31"/>
        <v>3Q2016</v>
      </c>
      <c r="F812" s="49" t="str">
        <f>IF(COUNTIF(C808:C810,"&gt;0")&lt;3,"N/A",AVERAGE(C808:C810))</f>
        <v>N/A</v>
      </c>
      <c r="H812" s="6">
        <v>42552</v>
      </c>
      <c r="J812" s="116"/>
      <c r="K812" s="275"/>
      <c r="L812" s="3"/>
    </row>
    <row r="813" spans="1:12" ht="15">
      <c r="A813" s="45">
        <f t="shared" si="30"/>
        <v>42602</v>
      </c>
      <c r="B813" s="46">
        <v>42602</v>
      </c>
      <c r="C813" s="65">
        <f t="shared" si="32"/>
        <v>0</v>
      </c>
      <c r="E813" s="3" t="str">
        <f t="shared" si="31"/>
        <v>3Q2016</v>
      </c>
      <c r="F813" s="49" t="str">
        <f>+F812</f>
        <v>N/A</v>
      </c>
      <c r="H813" s="6">
        <v>42583</v>
      </c>
      <c r="J813" s="116"/>
      <c r="K813" s="275"/>
      <c r="L813" s="3"/>
    </row>
    <row r="814" spans="1:12" ht="15">
      <c r="A814" s="39">
        <f t="shared" si="30"/>
        <v>42633</v>
      </c>
      <c r="B814" s="40">
        <v>42633</v>
      </c>
      <c r="C814" s="65">
        <f t="shared" si="32"/>
        <v>0</v>
      </c>
      <c r="E814" s="3" t="str">
        <f t="shared" si="31"/>
        <v>3Q2016</v>
      </c>
      <c r="F814" s="49" t="str">
        <f>+F813</f>
        <v>N/A</v>
      </c>
      <c r="H814" s="6">
        <v>42614</v>
      </c>
      <c r="J814" s="116"/>
      <c r="K814" s="275"/>
      <c r="L814" s="3"/>
    </row>
    <row r="815" spans="1:12" ht="15">
      <c r="A815" s="39">
        <f t="shared" si="30"/>
        <v>42663</v>
      </c>
      <c r="B815" s="40">
        <v>42663</v>
      </c>
      <c r="C815" s="65">
        <f t="shared" si="32"/>
        <v>0</v>
      </c>
      <c r="E815" s="3" t="str">
        <f t="shared" si="31"/>
        <v>4Q2016</v>
      </c>
      <c r="F815" s="49" t="str">
        <f>IF(COUNTIF(C811:C813,"&gt;0")&lt;3,"N/A",AVERAGE(C811:C813))</f>
        <v>N/A</v>
      </c>
      <c r="H815" s="6">
        <v>42644</v>
      </c>
      <c r="J815" s="116"/>
      <c r="K815" s="275"/>
      <c r="L815" s="3"/>
    </row>
    <row r="816" spans="1:12" ht="15">
      <c r="A816" s="45">
        <f t="shared" si="30"/>
        <v>42694</v>
      </c>
      <c r="B816" s="46">
        <v>42694</v>
      </c>
      <c r="C816" s="65">
        <f t="shared" si="32"/>
        <v>0</v>
      </c>
      <c r="E816" s="3" t="str">
        <f t="shared" si="31"/>
        <v>4Q2016</v>
      </c>
      <c r="F816" s="49" t="str">
        <f>+F815</f>
        <v>N/A</v>
      </c>
      <c r="H816" s="6">
        <v>42675</v>
      </c>
      <c r="J816" s="116"/>
      <c r="K816" s="275"/>
      <c r="L816" s="3"/>
    </row>
    <row r="817" spans="1:12" ht="15">
      <c r="A817" s="39">
        <f t="shared" si="30"/>
        <v>42724</v>
      </c>
      <c r="B817" s="40">
        <v>42724</v>
      </c>
      <c r="C817" s="65">
        <f t="shared" si="32"/>
        <v>0</v>
      </c>
      <c r="E817" s="3" t="str">
        <f t="shared" si="31"/>
        <v>4Q2016</v>
      </c>
      <c r="F817" s="49" t="str">
        <f>+F816</f>
        <v>N/A</v>
      </c>
      <c r="H817" s="6">
        <v>42705</v>
      </c>
      <c r="J817" s="116"/>
      <c r="K817" s="275"/>
      <c r="L817" s="3"/>
    </row>
    <row r="818" spans="1:8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 t="str">
        <f>IF(COUNTIF(C814:C816,"&gt;0")&lt;3,"N/A",AVERAGE(C814:C816))</f>
        <v>N/A</v>
      </c>
      <c r="H818" s="6"/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 t="str">
        <f>+F818</f>
        <v>N/A</v>
      </c>
      <c r="H819" s="6"/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 t="str">
        <f>+F819</f>
        <v>N/A</v>
      </c>
      <c r="H820" s="6"/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/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/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/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2015-05-08T15:08:16Z</dcterms:modified>
  <cp:category/>
  <cp:version/>
  <cp:contentType/>
  <cp:contentStatus/>
</cp:coreProperties>
</file>